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danny\Desktop\CREA Github\CEDS\input\emissions-inventories\Argentina\"/>
    </mc:Choice>
  </mc:AlternateContent>
  <xr:revisionPtr revIDLastSave="0" documentId="13_ncr:1_{D9930FE9-11E9-4F67-80B1-BD76040752A4}" xr6:coauthVersionLast="47" xr6:coauthVersionMax="47" xr10:uidLastSave="{00000000-0000-0000-0000-000000000000}"/>
  <bookViews>
    <workbookView xWindow="-5325" yWindow="2550" windowWidth="14145" windowHeight="10710" tabRatio="828" firstSheet="1" activeTab="3" xr2:uid="{00000000-000D-0000-FFFF-FFFF00000000}"/>
  </bookViews>
  <sheets>
    <sheet name="Datos Actividad" sheetId="24" r:id="rId1"/>
    <sheet name="FE Sectorial" sheetId="37" r:id="rId2"/>
    <sheet name="Factores generales" sheetId="38" r:id="rId3"/>
    <sheet name="Inventario 2018" sheetId="64" r:id="rId4"/>
    <sheet name="Inventario 2016" sheetId="62" r:id="rId5"/>
    <sheet name="Inventario 2014" sheetId="63" r:id="rId6"/>
    <sheet name="Inventario 2011" sheetId="39" r:id="rId7"/>
    <sheet name="Inventario 2009" sheetId="43" r:id="rId8"/>
    <sheet name="Inventario 2008" sheetId="47" r:id="rId9"/>
    <sheet name="Inventario 2007" sheetId="48" r:id="rId10"/>
    <sheet name="Inventario 2006" sheetId="49" r:id="rId11"/>
    <sheet name="Inventario 2005" sheetId="50" r:id="rId12"/>
    <sheet name="Inventario 2004" sheetId="51" r:id="rId13"/>
    <sheet name="Inventario 2003" sheetId="52" r:id="rId14"/>
    <sheet name="Inventario 2002" sheetId="53" r:id="rId15"/>
    <sheet name="Inventario 2001" sheetId="54" r:id="rId16"/>
    <sheet name="Inventario 1999" sheetId="55" r:id="rId17"/>
    <sheet name="Inventario 1998" sheetId="56" r:id="rId18"/>
    <sheet name="Inventario 1997" sheetId="44" r:id="rId19"/>
    <sheet name="Inventario 1996" sheetId="58" r:id="rId20"/>
    <sheet name="Inventario 1995" sheetId="57" r:id="rId21"/>
    <sheet name="Inventario 1994" sheetId="45" r:id="rId22"/>
    <sheet name="Inventario 1993" sheetId="59" r:id="rId23"/>
    <sheet name="Inventario 1992" sheetId="60" r:id="rId24"/>
    <sheet name="Inventario 1991" sheetId="61" r:id="rId25"/>
    <sheet name="Inventario 1990" sheetId="46" r:id="rId26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6" i="64" l="1"/>
  <c r="N225" i="64"/>
  <c r="N224" i="64"/>
  <c r="N223" i="64"/>
  <c r="H152" i="64"/>
  <c r="I152" i="64"/>
  <c r="J152" i="64"/>
  <c r="N152" i="64"/>
  <c r="M152" i="64"/>
  <c r="L152" i="64"/>
  <c r="K152" i="64"/>
  <c r="H151" i="64"/>
  <c r="I151" i="64"/>
  <c r="J151" i="64"/>
  <c r="N151" i="64"/>
  <c r="M151" i="64"/>
  <c r="L151" i="64"/>
  <c r="K151" i="64"/>
  <c r="N150" i="64"/>
  <c r="M150" i="64"/>
  <c r="L150" i="64"/>
  <c r="K150" i="64"/>
  <c r="J150" i="64"/>
  <c r="I150" i="64"/>
  <c r="H150" i="64"/>
  <c r="N226" i="63"/>
  <c r="N225" i="63"/>
  <c r="N224" i="63"/>
  <c r="N223" i="63"/>
  <c r="H152" i="63"/>
  <c r="I152" i="63"/>
  <c r="J152" i="63"/>
  <c r="O152" i="63"/>
  <c r="N152" i="63"/>
  <c r="M152" i="63"/>
  <c r="L152" i="63"/>
  <c r="K152" i="63"/>
  <c r="H151" i="63"/>
  <c r="I151" i="63"/>
  <c r="J151" i="63"/>
  <c r="O151" i="63"/>
  <c r="N151" i="63"/>
  <c r="M151" i="63"/>
  <c r="L151" i="63"/>
  <c r="K151" i="63"/>
  <c r="O150" i="63"/>
  <c r="N150" i="63"/>
  <c r="M150" i="63"/>
  <c r="L150" i="63"/>
  <c r="K150" i="63"/>
  <c r="J150" i="63"/>
  <c r="I150" i="63"/>
  <c r="H150" i="63"/>
  <c r="O120" i="62"/>
  <c r="O121" i="62"/>
  <c r="O119" i="62"/>
  <c r="N226" i="62"/>
  <c r="O104" i="62"/>
  <c r="O103" i="62"/>
  <c r="N225" i="62"/>
  <c r="N224" i="62"/>
  <c r="N223" i="62"/>
  <c r="O220" i="62"/>
  <c r="O218" i="62"/>
  <c r="O215" i="62"/>
  <c r="O213" i="62"/>
  <c r="O209" i="62"/>
  <c r="O207" i="62"/>
  <c r="O204" i="62"/>
  <c r="O203" i="62"/>
  <c r="O201" i="62"/>
  <c r="O198" i="62"/>
  <c r="O196" i="62"/>
  <c r="O193" i="62"/>
  <c r="O191" i="62"/>
  <c r="O188" i="62"/>
  <c r="N188" i="62"/>
  <c r="O187" i="62"/>
  <c r="O186" i="62"/>
  <c r="O185" i="62"/>
  <c r="O184" i="62"/>
  <c r="O183" i="62"/>
  <c r="O182" i="62"/>
  <c r="O181" i="62"/>
  <c r="O180" i="62"/>
  <c r="O179" i="62"/>
  <c r="O178" i="62"/>
  <c r="O177" i="62"/>
  <c r="O176" i="62"/>
  <c r="O175" i="62"/>
  <c r="O174" i="62"/>
  <c r="O173" i="62"/>
  <c r="O172" i="62"/>
  <c r="O171" i="62"/>
  <c r="O169" i="62"/>
  <c r="O168" i="62"/>
  <c r="O165" i="62"/>
  <c r="O164" i="62"/>
  <c r="O163" i="62"/>
  <c r="O162" i="62"/>
  <c r="O161" i="62"/>
  <c r="O160" i="62"/>
  <c r="O159" i="62"/>
  <c r="O158" i="62"/>
  <c r="O157" i="62"/>
  <c r="O156" i="62"/>
  <c r="O155" i="62"/>
  <c r="N155" i="62"/>
  <c r="M155" i="62"/>
  <c r="L155" i="62"/>
  <c r="K155" i="62"/>
  <c r="J155" i="62"/>
  <c r="H155" i="62"/>
  <c r="O154" i="62"/>
  <c r="N154" i="62"/>
  <c r="M154" i="62"/>
  <c r="L154" i="62"/>
  <c r="K154" i="62"/>
  <c r="J154" i="62"/>
  <c r="H154" i="62"/>
  <c r="H152" i="62"/>
  <c r="I152" i="62"/>
  <c r="J152" i="62"/>
  <c r="O152" i="62"/>
  <c r="N152" i="62"/>
  <c r="M152" i="62"/>
  <c r="L152" i="62"/>
  <c r="K152" i="62"/>
  <c r="H151" i="62"/>
  <c r="I151" i="62"/>
  <c r="J151" i="62"/>
  <c r="O151" i="62"/>
  <c r="N151" i="62"/>
  <c r="M151" i="62"/>
  <c r="L151" i="62"/>
  <c r="K151" i="62"/>
  <c r="O150" i="62"/>
  <c r="N150" i="62"/>
  <c r="M150" i="62"/>
  <c r="L150" i="62"/>
  <c r="K150" i="62"/>
  <c r="J150" i="62"/>
  <c r="I150" i="62"/>
  <c r="H150" i="62"/>
  <c r="O149" i="62"/>
  <c r="O148" i="62"/>
  <c r="O147" i="62"/>
  <c r="O146" i="62"/>
  <c r="O145" i="62"/>
  <c r="O144" i="62"/>
  <c r="O143" i="62"/>
  <c r="O142" i="62"/>
  <c r="O141" i="62"/>
  <c r="O140" i="62"/>
  <c r="O139" i="62"/>
  <c r="O138" i="62"/>
  <c r="O137" i="62"/>
  <c r="O136" i="62"/>
  <c r="O135" i="62"/>
  <c r="O134" i="62"/>
  <c r="O133" i="62"/>
  <c r="O132" i="62"/>
  <c r="O131" i="62"/>
  <c r="O129" i="62"/>
  <c r="O128" i="62"/>
  <c r="O127" i="62"/>
  <c r="O126" i="62"/>
  <c r="O125" i="62"/>
  <c r="O124" i="62"/>
  <c r="O123" i="62"/>
  <c r="O122" i="62"/>
  <c r="O118" i="62"/>
  <c r="O117" i="62"/>
  <c r="O116" i="62"/>
  <c r="O115" i="62"/>
  <c r="O114" i="62"/>
  <c r="O113" i="62"/>
  <c r="O112" i="62"/>
  <c r="O111" i="62"/>
  <c r="O110" i="62"/>
  <c r="O109" i="62"/>
  <c r="O108" i="62"/>
  <c r="O107" i="62"/>
  <c r="O106" i="62"/>
  <c r="O105" i="62"/>
  <c r="O102" i="62"/>
  <c r="O101" i="62"/>
  <c r="O100" i="62"/>
  <c r="O99" i="62"/>
  <c r="O98" i="62"/>
  <c r="O97" i="62"/>
  <c r="O96" i="62"/>
  <c r="O95" i="62"/>
  <c r="O94" i="62"/>
  <c r="O93" i="62"/>
  <c r="O92" i="62"/>
  <c r="O91" i="62"/>
  <c r="O90" i="62"/>
  <c r="O89" i="62"/>
  <c r="O88" i="62"/>
  <c r="O87" i="62"/>
  <c r="O86" i="62"/>
  <c r="O85" i="62"/>
  <c r="O84" i="62"/>
  <c r="O83" i="62"/>
  <c r="O82" i="62"/>
  <c r="O81" i="62"/>
  <c r="O80" i="62"/>
  <c r="O79" i="62"/>
  <c r="O78" i="62"/>
  <c r="O77" i="62"/>
  <c r="O76" i="62"/>
  <c r="O75" i="62"/>
  <c r="O74" i="62"/>
  <c r="O73" i="62"/>
  <c r="O72" i="62"/>
  <c r="O71" i="62"/>
  <c r="O70" i="62"/>
  <c r="O69" i="62"/>
  <c r="O68" i="62"/>
  <c r="O67" i="62"/>
  <c r="O66" i="62"/>
  <c r="O65" i="62"/>
  <c r="O64" i="62"/>
  <c r="O63" i="62"/>
  <c r="O62" i="62"/>
  <c r="O61" i="62"/>
  <c r="O60" i="62"/>
  <c r="O59" i="62"/>
  <c r="O58" i="62"/>
  <c r="O57" i="62"/>
  <c r="O56" i="62"/>
  <c r="O55" i="62"/>
  <c r="O54" i="62"/>
  <c r="O53" i="62"/>
  <c r="O52" i="62"/>
  <c r="O51" i="62"/>
  <c r="O50" i="62"/>
  <c r="O49" i="62"/>
  <c r="O48" i="62"/>
  <c r="O47" i="62"/>
  <c r="O46" i="62"/>
  <c r="O45" i="62"/>
  <c r="O44" i="62"/>
  <c r="O43" i="62"/>
  <c r="O42" i="62"/>
  <c r="O41" i="62"/>
  <c r="O40" i="62"/>
  <c r="O39" i="62"/>
  <c r="O38" i="62"/>
  <c r="O37" i="62"/>
  <c r="O36" i="62"/>
  <c r="O35" i="62"/>
  <c r="O34" i="62"/>
  <c r="O33" i="62"/>
  <c r="O32" i="62"/>
  <c r="O31" i="62"/>
  <c r="O30" i="62"/>
  <c r="O29" i="62"/>
  <c r="O28" i="62"/>
  <c r="O26" i="62"/>
  <c r="O25" i="62"/>
  <c r="O24" i="62"/>
  <c r="O23" i="62"/>
  <c r="O22" i="62"/>
  <c r="O21" i="62"/>
  <c r="O20" i="62"/>
  <c r="O19" i="62"/>
  <c r="O18" i="62"/>
  <c r="O17" i="62"/>
  <c r="O14" i="62"/>
  <c r="O13" i="62"/>
  <c r="O12" i="62"/>
  <c r="O11" i="62"/>
  <c r="O10" i="62"/>
  <c r="O9" i="62"/>
  <c r="O8" i="62"/>
  <c r="O7" i="62"/>
  <c r="O6" i="62"/>
  <c r="O5" i="62"/>
  <c r="H119" i="37"/>
  <c r="I119" i="37"/>
  <c r="P119" i="37"/>
  <c r="H120" i="46"/>
  <c r="I120" i="46"/>
  <c r="J120" i="46"/>
  <c r="O120" i="46"/>
  <c r="H120" i="37"/>
  <c r="I120" i="37"/>
  <c r="P120" i="37"/>
  <c r="H121" i="46"/>
  <c r="J120" i="37"/>
  <c r="I121" i="46"/>
  <c r="K120" i="37"/>
  <c r="J121" i="46"/>
  <c r="O121" i="46"/>
  <c r="O119" i="46"/>
  <c r="N226" i="46"/>
  <c r="H103" i="37"/>
  <c r="I103" i="37"/>
  <c r="P103" i="37"/>
  <c r="H104" i="46"/>
  <c r="I104" i="46"/>
  <c r="J104" i="46"/>
  <c r="O104" i="46"/>
  <c r="O103" i="46"/>
  <c r="N225" i="46"/>
  <c r="N224" i="46"/>
  <c r="H120" i="61"/>
  <c r="I120" i="61"/>
  <c r="J120" i="61"/>
  <c r="O120" i="61"/>
  <c r="H121" i="61"/>
  <c r="I121" i="61"/>
  <c r="J121" i="61"/>
  <c r="O121" i="61"/>
  <c r="O119" i="61"/>
  <c r="N226" i="61"/>
  <c r="H104" i="61"/>
  <c r="I104" i="61"/>
  <c r="J104" i="61"/>
  <c r="O104" i="61"/>
  <c r="O103" i="61"/>
  <c r="N225" i="61"/>
  <c r="N224" i="61"/>
  <c r="H120" i="60"/>
  <c r="I120" i="60"/>
  <c r="J120" i="60"/>
  <c r="O120" i="60"/>
  <c r="H121" i="60"/>
  <c r="I121" i="60"/>
  <c r="J121" i="60"/>
  <c r="O121" i="60"/>
  <c r="O119" i="60"/>
  <c r="N226" i="60"/>
  <c r="H104" i="60"/>
  <c r="I104" i="60"/>
  <c r="J104" i="60"/>
  <c r="O104" i="60"/>
  <c r="O103" i="60"/>
  <c r="N225" i="60"/>
  <c r="N224" i="60"/>
  <c r="H120" i="59"/>
  <c r="I120" i="59"/>
  <c r="J120" i="59"/>
  <c r="O120" i="59"/>
  <c r="H121" i="59"/>
  <c r="I121" i="59"/>
  <c r="J121" i="59"/>
  <c r="O121" i="59"/>
  <c r="O119" i="59"/>
  <c r="N226" i="59"/>
  <c r="H104" i="59"/>
  <c r="I104" i="59"/>
  <c r="J104" i="59"/>
  <c r="O104" i="59"/>
  <c r="O103" i="59"/>
  <c r="N225" i="59"/>
  <c r="N224" i="59"/>
  <c r="H120" i="45"/>
  <c r="I120" i="45"/>
  <c r="J120" i="45"/>
  <c r="O120" i="45"/>
  <c r="H121" i="45"/>
  <c r="I121" i="45"/>
  <c r="J121" i="45"/>
  <c r="O121" i="45"/>
  <c r="O119" i="45"/>
  <c r="N226" i="45"/>
  <c r="H104" i="45"/>
  <c r="I104" i="45"/>
  <c r="J104" i="45"/>
  <c r="O104" i="45"/>
  <c r="O103" i="45"/>
  <c r="N225" i="45"/>
  <c r="N224" i="45"/>
  <c r="H120" i="57"/>
  <c r="I120" i="57"/>
  <c r="J120" i="57"/>
  <c r="O120" i="57"/>
  <c r="H121" i="57"/>
  <c r="I121" i="57"/>
  <c r="J121" i="57"/>
  <c r="O121" i="57"/>
  <c r="O119" i="57"/>
  <c r="N226" i="57"/>
  <c r="H104" i="57"/>
  <c r="I104" i="57"/>
  <c r="J104" i="57"/>
  <c r="O104" i="57"/>
  <c r="O103" i="57"/>
  <c r="N225" i="57"/>
  <c r="N224" i="57"/>
  <c r="H120" i="58"/>
  <c r="I120" i="58"/>
  <c r="J120" i="58"/>
  <c r="O120" i="58"/>
  <c r="H121" i="58"/>
  <c r="I121" i="58"/>
  <c r="J121" i="58"/>
  <c r="O121" i="58"/>
  <c r="O119" i="58"/>
  <c r="N226" i="58"/>
  <c r="H104" i="58"/>
  <c r="I104" i="58"/>
  <c r="J104" i="58"/>
  <c r="O104" i="58"/>
  <c r="O103" i="58"/>
  <c r="N225" i="58"/>
  <c r="N224" i="58"/>
  <c r="H120" i="44"/>
  <c r="I120" i="44"/>
  <c r="J120" i="44"/>
  <c r="O120" i="44"/>
  <c r="H121" i="44"/>
  <c r="I121" i="44"/>
  <c r="J121" i="44"/>
  <c r="O121" i="44"/>
  <c r="O119" i="44"/>
  <c r="N226" i="44"/>
  <c r="H104" i="44"/>
  <c r="I104" i="44"/>
  <c r="J104" i="44"/>
  <c r="O104" i="44"/>
  <c r="O103" i="44"/>
  <c r="N225" i="44"/>
  <c r="N224" i="44"/>
  <c r="H120" i="56"/>
  <c r="I120" i="56"/>
  <c r="J120" i="56"/>
  <c r="O120" i="56"/>
  <c r="H121" i="56"/>
  <c r="I121" i="56"/>
  <c r="J121" i="56"/>
  <c r="O121" i="56"/>
  <c r="O119" i="56"/>
  <c r="N226" i="56"/>
  <c r="H104" i="56"/>
  <c r="I104" i="56"/>
  <c r="J104" i="56"/>
  <c r="O104" i="56"/>
  <c r="O103" i="56"/>
  <c r="N225" i="56"/>
  <c r="N224" i="56"/>
  <c r="H120" i="55"/>
  <c r="I120" i="55"/>
  <c r="J120" i="55"/>
  <c r="O120" i="55"/>
  <c r="H121" i="55"/>
  <c r="I121" i="55"/>
  <c r="J121" i="55"/>
  <c r="O121" i="55"/>
  <c r="O119" i="55"/>
  <c r="N226" i="55"/>
  <c r="H104" i="55"/>
  <c r="I104" i="55"/>
  <c r="J104" i="55"/>
  <c r="O104" i="55"/>
  <c r="O103" i="55"/>
  <c r="N225" i="55"/>
  <c r="N224" i="55"/>
  <c r="H120" i="54"/>
  <c r="I120" i="54"/>
  <c r="J120" i="54"/>
  <c r="O120" i="54"/>
  <c r="H121" i="54"/>
  <c r="I121" i="54"/>
  <c r="J121" i="54"/>
  <c r="O121" i="54"/>
  <c r="O119" i="54"/>
  <c r="N226" i="54"/>
  <c r="H104" i="54"/>
  <c r="I104" i="54"/>
  <c r="J104" i="54"/>
  <c r="O104" i="54"/>
  <c r="O103" i="54"/>
  <c r="N225" i="54"/>
  <c r="N224" i="54"/>
  <c r="H120" i="53"/>
  <c r="I120" i="53"/>
  <c r="J120" i="53"/>
  <c r="O120" i="53"/>
  <c r="H121" i="53"/>
  <c r="I121" i="53"/>
  <c r="J121" i="53"/>
  <c r="O121" i="53"/>
  <c r="O119" i="53"/>
  <c r="N226" i="53"/>
  <c r="H104" i="53"/>
  <c r="I104" i="53"/>
  <c r="J104" i="53"/>
  <c r="O104" i="53"/>
  <c r="O103" i="53"/>
  <c r="N225" i="53"/>
  <c r="N224" i="53"/>
  <c r="H120" i="52"/>
  <c r="I120" i="52"/>
  <c r="J120" i="52"/>
  <c r="O120" i="52"/>
  <c r="H121" i="52"/>
  <c r="I121" i="52"/>
  <c r="J121" i="52"/>
  <c r="O121" i="52"/>
  <c r="O119" i="52"/>
  <c r="N226" i="52"/>
  <c r="H104" i="52"/>
  <c r="I104" i="52"/>
  <c r="J104" i="52"/>
  <c r="O104" i="52"/>
  <c r="O103" i="52"/>
  <c r="N225" i="52"/>
  <c r="N224" i="52"/>
  <c r="H120" i="51"/>
  <c r="I120" i="51"/>
  <c r="J120" i="51"/>
  <c r="O120" i="51"/>
  <c r="H121" i="51"/>
  <c r="I121" i="51"/>
  <c r="J121" i="51"/>
  <c r="O121" i="51"/>
  <c r="O119" i="51"/>
  <c r="N226" i="51"/>
  <c r="H104" i="51"/>
  <c r="I104" i="51"/>
  <c r="J104" i="51"/>
  <c r="O104" i="51"/>
  <c r="O103" i="51"/>
  <c r="N225" i="51"/>
  <c r="N224" i="51"/>
  <c r="H120" i="50"/>
  <c r="I120" i="50"/>
  <c r="J120" i="50"/>
  <c r="O120" i="50"/>
  <c r="H121" i="50"/>
  <c r="I121" i="50"/>
  <c r="J121" i="50"/>
  <c r="O121" i="50"/>
  <c r="O119" i="50"/>
  <c r="N226" i="50"/>
  <c r="H104" i="50"/>
  <c r="I104" i="50"/>
  <c r="J104" i="50"/>
  <c r="O104" i="50"/>
  <c r="O103" i="50"/>
  <c r="N225" i="50"/>
  <c r="N224" i="50"/>
  <c r="H120" i="49"/>
  <c r="I120" i="49"/>
  <c r="J120" i="49"/>
  <c r="O120" i="49"/>
  <c r="H121" i="49"/>
  <c r="I121" i="49"/>
  <c r="J121" i="49"/>
  <c r="O121" i="49"/>
  <c r="O119" i="49"/>
  <c r="N226" i="49"/>
  <c r="H104" i="49"/>
  <c r="I104" i="49"/>
  <c r="J104" i="49"/>
  <c r="O104" i="49"/>
  <c r="O103" i="49"/>
  <c r="N225" i="49"/>
  <c r="N224" i="49"/>
  <c r="H120" i="48"/>
  <c r="I120" i="48"/>
  <c r="J120" i="48"/>
  <c r="O120" i="48"/>
  <c r="H121" i="48"/>
  <c r="I121" i="48"/>
  <c r="J121" i="48"/>
  <c r="O121" i="48"/>
  <c r="O119" i="48"/>
  <c r="N226" i="48"/>
  <c r="H104" i="48"/>
  <c r="I104" i="48"/>
  <c r="J104" i="48"/>
  <c r="O104" i="48"/>
  <c r="O103" i="48"/>
  <c r="N225" i="48"/>
  <c r="N224" i="48"/>
  <c r="H120" i="47"/>
  <c r="I120" i="47"/>
  <c r="J120" i="47"/>
  <c r="O120" i="47"/>
  <c r="H121" i="47"/>
  <c r="I121" i="47"/>
  <c r="J121" i="47"/>
  <c r="O121" i="47"/>
  <c r="O119" i="47"/>
  <c r="N226" i="47"/>
  <c r="H104" i="47"/>
  <c r="I104" i="47"/>
  <c r="J104" i="47"/>
  <c r="O104" i="47"/>
  <c r="O103" i="47"/>
  <c r="N225" i="47"/>
  <c r="N224" i="47"/>
  <c r="H120" i="43"/>
  <c r="I120" i="43"/>
  <c r="J120" i="43"/>
  <c r="O120" i="43"/>
  <c r="H121" i="43"/>
  <c r="I121" i="43"/>
  <c r="J121" i="43"/>
  <c r="O121" i="43"/>
  <c r="O119" i="43"/>
  <c r="N226" i="43"/>
  <c r="H104" i="43"/>
  <c r="I104" i="43"/>
  <c r="J104" i="43"/>
  <c r="O104" i="43"/>
  <c r="O103" i="43"/>
  <c r="N225" i="43"/>
  <c r="N224" i="43"/>
  <c r="H122" i="37"/>
  <c r="I122" i="37"/>
  <c r="P122" i="37"/>
  <c r="H123" i="47"/>
  <c r="J122" i="37"/>
  <c r="I123" i="47"/>
  <c r="K122" i="37"/>
  <c r="J123" i="47"/>
  <c r="O123" i="47"/>
  <c r="H123" i="37"/>
  <c r="I123" i="37"/>
  <c r="P123" i="37"/>
  <c r="H124" i="47"/>
  <c r="J123" i="37"/>
  <c r="I124" i="47"/>
  <c r="K123" i="37"/>
  <c r="J124" i="47"/>
  <c r="O124" i="47"/>
  <c r="O122" i="47"/>
  <c r="O118" i="47"/>
  <c r="P17" i="38"/>
  <c r="O122" i="37"/>
  <c r="N123" i="47"/>
  <c r="P18" i="38"/>
  <c r="O123" i="37"/>
  <c r="N124" i="47"/>
  <c r="N122" i="47"/>
  <c r="N118" i="47"/>
  <c r="N122" i="37"/>
  <c r="M123" i="47"/>
  <c r="N123" i="37"/>
  <c r="M124" i="47"/>
  <c r="M122" i="47"/>
  <c r="M118" i="47"/>
  <c r="M122" i="37"/>
  <c r="L123" i="47"/>
  <c r="M123" i="37"/>
  <c r="L124" i="47"/>
  <c r="L122" i="47"/>
  <c r="L118" i="47"/>
  <c r="L122" i="37"/>
  <c r="K123" i="47"/>
  <c r="L123" i="37"/>
  <c r="K124" i="47"/>
  <c r="K122" i="47"/>
  <c r="K118" i="47"/>
  <c r="J122" i="47"/>
  <c r="J118" i="47"/>
  <c r="I122" i="47"/>
  <c r="I118" i="47"/>
  <c r="H122" i="47"/>
  <c r="H118" i="47"/>
  <c r="H123" i="48"/>
  <c r="I123" i="48"/>
  <c r="J123" i="48"/>
  <c r="O123" i="48"/>
  <c r="H124" i="48"/>
  <c r="I124" i="48"/>
  <c r="J124" i="48"/>
  <c r="O124" i="48"/>
  <c r="O122" i="48"/>
  <c r="O118" i="48"/>
  <c r="N123" i="48"/>
  <c r="N124" i="48"/>
  <c r="N122" i="48"/>
  <c r="N118" i="48"/>
  <c r="M123" i="48"/>
  <c r="M124" i="48"/>
  <c r="M122" i="48"/>
  <c r="M118" i="48"/>
  <c r="L123" i="48"/>
  <c r="L124" i="48"/>
  <c r="L122" i="48"/>
  <c r="L118" i="48"/>
  <c r="K123" i="48"/>
  <c r="K124" i="48"/>
  <c r="K122" i="48"/>
  <c r="K118" i="48"/>
  <c r="J122" i="48"/>
  <c r="J118" i="48"/>
  <c r="I122" i="48"/>
  <c r="I118" i="48"/>
  <c r="H122" i="48"/>
  <c r="H118" i="48"/>
  <c r="H123" i="49"/>
  <c r="I123" i="49"/>
  <c r="J123" i="49"/>
  <c r="O123" i="49"/>
  <c r="H124" i="49"/>
  <c r="I124" i="49"/>
  <c r="J124" i="49"/>
  <c r="O124" i="49"/>
  <c r="O122" i="49"/>
  <c r="O118" i="49"/>
  <c r="N123" i="49"/>
  <c r="N124" i="49"/>
  <c r="N122" i="49"/>
  <c r="N118" i="49"/>
  <c r="M123" i="49"/>
  <c r="M124" i="49"/>
  <c r="M122" i="49"/>
  <c r="M118" i="49"/>
  <c r="L123" i="49"/>
  <c r="L124" i="49"/>
  <c r="L122" i="49"/>
  <c r="L118" i="49"/>
  <c r="K123" i="49"/>
  <c r="K124" i="49"/>
  <c r="K122" i="49"/>
  <c r="K118" i="49"/>
  <c r="J122" i="49"/>
  <c r="J118" i="49"/>
  <c r="I122" i="49"/>
  <c r="I118" i="49"/>
  <c r="H122" i="49"/>
  <c r="H118" i="49"/>
  <c r="H123" i="50"/>
  <c r="I123" i="50"/>
  <c r="J123" i="50"/>
  <c r="O123" i="50"/>
  <c r="H124" i="50"/>
  <c r="I124" i="50"/>
  <c r="J124" i="50"/>
  <c r="O124" i="50"/>
  <c r="O122" i="50"/>
  <c r="O118" i="50"/>
  <c r="N123" i="50"/>
  <c r="N124" i="50"/>
  <c r="N122" i="50"/>
  <c r="N118" i="50"/>
  <c r="M123" i="50"/>
  <c r="M124" i="50"/>
  <c r="M122" i="50"/>
  <c r="M118" i="50"/>
  <c r="L123" i="50"/>
  <c r="L124" i="50"/>
  <c r="L122" i="50"/>
  <c r="L118" i="50"/>
  <c r="K123" i="50"/>
  <c r="K124" i="50"/>
  <c r="K122" i="50"/>
  <c r="K118" i="50"/>
  <c r="J122" i="50"/>
  <c r="J118" i="50"/>
  <c r="I122" i="50"/>
  <c r="I118" i="50"/>
  <c r="H122" i="50"/>
  <c r="H118" i="50"/>
  <c r="H123" i="51"/>
  <c r="I123" i="51"/>
  <c r="J123" i="51"/>
  <c r="O123" i="51"/>
  <c r="H124" i="51"/>
  <c r="I124" i="51"/>
  <c r="J124" i="51"/>
  <c r="O124" i="51"/>
  <c r="O122" i="51"/>
  <c r="O118" i="51"/>
  <c r="N123" i="51"/>
  <c r="N124" i="51"/>
  <c r="N122" i="51"/>
  <c r="N118" i="51"/>
  <c r="M123" i="51"/>
  <c r="M124" i="51"/>
  <c r="M122" i="51"/>
  <c r="M118" i="51"/>
  <c r="L123" i="51"/>
  <c r="L124" i="51"/>
  <c r="L122" i="51"/>
  <c r="L118" i="51"/>
  <c r="K123" i="51"/>
  <c r="K124" i="51"/>
  <c r="K122" i="51"/>
  <c r="K118" i="51"/>
  <c r="J122" i="51"/>
  <c r="J118" i="51"/>
  <c r="I122" i="51"/>
  <c r="I118" i="51"/>
  <c r="H122" i="51"/>
  <c r="H118" i="51"/>
  <c r="H123" i="52"/>
  <c r="I123" i="52"/>
  <c r="J123" i="52"/>
  <c r="O123" i="52"/>
  <c r="H124" i="52"/>
  <c r="I124" i="52"/>
  <c r="J124" i="52"/>
  <c r="O124" i="52"/>
  <c r="O122" i="52"/>
  <c r="O118" i="52"/>
  <c r="N123" i="52"/>
  <c r="N124" i="52"/>
  <c r="N122" i="52"/>
  <c r="N118" i="52"/>
  <c r="M123" i="52"/>
  <c r="M124" i="52"/>
  <c r="M122" i="52"/>
  <c r="M118" i="52"/>
  <c r="L123" i="52"/>
  <c r="L124" i="52"/>
  <c r="L122" i="52"/>
  <c r="L118" i="52"/>
  <c r="K123" i="52"/>
  <c r="K124" i="52"/>
  <c r="K122" i="52"/>
  <c r="K118" i="52"/>
  <c r="J122" i="52"/>
  <c r="J118" i="52"/>
  <c r="I122" i="52"/>
  <c r="I118" i="52"/>
  <c r="H122" i="52"/>
  <c r="H118" i="52"/>
  <c r="H123" i="53"/>
  <c r="I123" i="53"/>
  <c r="J123" i="53"/>
  <c r="O123" i="53"/>
  <c r="H124" i="53"/>
  <c r="I124" i="53"/>
  <c r="J124" i="53"/>
  <c r="O124" i="53"/>
  <c r="O122" i="53"/>
  <c r="O118" i="53"/>
  <c r="N123" i="53"/>
  <c r="N124" i="53"/>
  <c r="N122" i="53"/>
  <c r="N118" i="53"/>
  <c r="M123" i="53"/>
  <c r="M124" i="53"/>
  <c r="M122" i="53"/>
  <c r="M118" i="53"/>
  <c r="L123" i="53"/>
  <c r="L124" i="53"/>
  <c r="L122" i="53"/>
  <c r="L118" i="53"/>
  <c r="K123" i="53"/>
  <c r="K124" i="53"/>
  <c r="K122" i="53"/>
  <c r="K118" i="53"/>
  <c r="J122" i="53"/>
  <c r="J118" i="53"/>
  <c r="I122" i="53"/>
  <c r="I118" i="53"/>
  <c r="H122" i="53"/>
  <c r="H118" i="53"/>
  <c r="H123" i="54"/>
  <c r="I123" i="54"/>
  <c r="J123" i="54"/>
  <c r="O123" i="54"/>
  <c r="H124" i="54"/>
  <c r="I124" i="54"/>
  <c r="J124" i="54"/>
  <c r="O124" i="54"/>
  <c r="O122" i="54"/>
  <c r="O118" i="54"/>
  <c r="N123" i="54"/>
  <c r="N124" i="54"/>
  <c r="N122" i="54"/>
  <c r="N118" i="54"/>
  <c r="M123" i="54"/>
  <c r="M124" i="54"/>
  <c r="M122" i="54"/>
  <c r="M118" i="54"/>
  <c r="L123" i="54"/>
  <c r="L124" i="54"/>
  <c r="L122" i="54"/>
  <c r="L118" i="54"/>
  <c r="K123" i="54"/>
  <c r="K124" i="54"/>
  <c r="K122" i="54"/>
  <c r="K118" i="54"/>
  <c r="J122" i="54"/>
  <c r="J118" i="54"/>
  <c r="I122" i="54"/>
  <c r="I118" i="54"/>
  <c r="H122" i="54"/>
  <c r="H118" i="54"/>
  <c r="H123" i="55"/>
  <c r="I123" i="55"/>
  <c r="J123" i="55"/>
  <c r="O123" i="55"/>
  <c r="H124" i="55"/>
  <c r="I124" i="55"/>
  <c r="J124" i="55"/>
  <c r="O124" i="55"/>
  <c r="O122" i="55"/>
  <c r="O118" i="55"/>
  <c r="N123" i="55"/>
  <c r="N124" i="55"/>
  <c r="N122" i="55"/>
  <c r="N118" i="55"/>
  <c r="M123" i="55"/>
  <c r="M124" i="55"/>
  <c r="M122" i="55"/>
  <c r="M118" i="55"/>
  <c r="L123" i="55"/>
  <c r="L124" i="55"/>
  <c r="L122" i="55"/>
  <c r="L118" i="55"/>
  <c r="K123" i="55"/>
  <c r="K124" i="55"/>
  <c r="K122" i="55"/>
  <c r="K118" i="55"/>
  <c r="J122" i="55"/>
  <c r="J118" i="55"/>
  <c r="I122" i="55"/>
  <c r="I118" i="55"/>
  <c r="H122" i="55"/>
  <c r="H118" i="55"/>
  <c r="H123" i="56"/>
  <c r="I123" i="56"/>
  <c r="J123" i="56"/>
  <c r="O123" i="56"/>
  <c r="H124" i="56"/>
  <c r="I124" i="56"/>
  <c r="J124" i="56"/>
  <c r="O124" i="56"/>
  <c r="O122" i="56"/>
  <c r="O118" i="56"/>
  <c r="N123" i="56"/>
  <c r="N124" i="56"/>
  <c r="N122" i="56"/>
  <c r="N118" i="56"/>
  <c r="M123" i="56"/>
  <c r="M124" i="56"/>
  <c r="M122" i="56"/>
  <c r="M118" i="56"/>
  <c r="L123" i="56"/>
  <c r="L124" i="56"/>
  <c r="L122" i="56"/>
  <c r="L118" i="56"/>
  <c r="K123" i="56"/>
  <c r="K124" i="56"/>
  <c r="K122" i="56"/>
  <c r="K118" i="56"/>
  <c r="J122" i="56"/>
  <c r="J118" i="56"/>
  <c r="I122" i="56"/>
  <c r="I118" i="56"/>
  <c r="H122" i="56"/>
  <c r="H118" i="56"/>
  <c r="H123" i="44"/>
  <c r="I123" i="44"/>
  <c r="J123" i="44"/>
  <c r="O123" i="44"/>
  <c r="H124" i="44"/>
  <c r="I124" i="44"/>
  <c r="J124" i="44"/>
  <c r="O124" i="44"/>
  <c r="O122" i="44"/>
  <c r="O118" i="44"/>
  <c r="N123" i="44"/>
  <c r="N124" i="44"/>
  <c r="N122" i="44"/>
  <c r="N118" i="44"/>
  <c r="M123" i="44"/>
  <c r="M124" i="44"/>
  <c r="M122" i="44"/>
  <c r="M118" i="44"/>
  <c r="L123" i="44"/>
  <c r="L124" i="44"/>
  <c r="L122" i="44"/>
  <c r="L118" i="44"/>
  <c r="K123" i="44"/>
  <c r="K124" i="44"/>
  <c r="K122" i="44"/>
  <c r="K118" i="44"/>
  <c r="J122" i="44"/>
  <c r="J118" i="44"/>
  <c r="I122" i="44"/>
  <c r="I118" i="44"/>
  <c r="H122" i="44"/>
  <c r="H118" i="44"/>
  <c r="H123" i="58"/>
  <c r="I123" i="58"/>
  <c r="J123" i="58"/>
  <c r="O123" i="58"/>
  <c r="H124" i="58"/>
  <c r="I124" i="58"/>
  <c r="J124" i="58"/>
  <c r="O124" i="58"/>
  <c r="O122" i="58"/>
  <c r="O118" i="58"/>
  <c r="N123" i="58"/>
  <c r="N124" i="58"/>
  <c r="N122" i="58"/>
  <c r="N118" i="58"/>
  <c r="M123" i="58"/>
  <c r="M124" i="58"/>
  <c r="M122" i="58"/>
  <c r="M118" i="58"/>
  <c r="L123" i="58"/>
  <c r="L124" i="58"/>
  <c r="L122" i="58"/>
  <c r="L118" i="58"/>
  <c r="K123" i="58"/>
  <c r="K124" i="58"/>
  <c r="K122" i="58"/>
  <c r="K118" i="58"/>
  <c r="J122" i="58"/>
  <c r="J118" i="58"/>
  <c r="I122" i="58"/>
  <c r="I118" i="58"/>
  <c r="H122" i="58"/>
  <c r="H118" i="58"/>
  <c r="H123" i="57"/>
  <c r="I123" i="57"/>
  <c r="J123" i="57"/>
  <c r="O123" i="57"/>
  <c r="H124" i="57"/>
  <c r="I124" i="57"/>
  <c r="J124" i="57"/>
  <c r="O124" i="57"/>
  <c r="O122" i="57"/>
  <c r="O118" i="57"/>
  <c r="N123" i="57"/>
  <c r="N124" i="57"/>
  <c r="N122" i="57"/>
  <c r="N118" i="57"/>
  <c r="M123" i="57"/>
  <c r="M124" i="57"/>
  <c r="M122" i="57"/>
  <c r="M118" i="57"/>
  <c r="L123" i="57"/>
  <c r="L124" i="57"/>
  <c r="L122" i="57"/>
  <c r="L118" i="57"/>
  <c r="K123" i="57"/>
  <c r="K124" i="57"/>
  <c r="K122" i="57"/>
  <c r="K118" i="57"/>
  <c r="J122" i="57"/>
  <c r="J118" i="57"/>
  <c r="I122" i="57"/>
  <c r="I118" i="57"/>
  <c r="H122" i="57"/>
  <c r="H118" i="57"/>
  <c r="H123" i="45"/>
  <c r="I123" i="45"/>
  <c r="J123" i="45"/>
  <c r="O123" i="45"/>
  <c r="H124" i="45"/>
  <c r="I124" i="45"/>
  <c r="J124" i="45"/>
  <c r="O124" i="45"/>
  <c r="O122" i="45"/>
  <c r="O118" i="45"/>
  <c r="N123" i="45"/>
  <c r="N124" i="45"/>
  <c r="N122" i="45"/>
  <c r="N118" i="45"/>
  <c r="M123" i="45"/>
  <c r="M124" i="45"/>
  <c r="M122" i="45"/>
  <c r="M118" i="45"/>
  <c r="L123" i="45"/>
  <c r="L124" i="45"/>
  <c r="L122" i="45"/>
  <c r="L118" i="45"/>
  <c r="K123" i="45"/>
  <c r="K124" i="45"/>
  <c r="K122" i="45"/>
  <c r="K118" i="45"/>
  <c r="J122" i="45"/>
  <c r="J118" i="45"/>
  <c r="I122" i="45"/>
  <c r="I118" i="45"/>
  <c r="H122" i="45"/>
  <c r="H118" i="45"/>
  <c r="H123" i="59"/>
  <c r="I123" i="59"/>
  <c r="J123" i="59"/>
  <c r="O123" i="59"/>
  <c r="H124" i="59"/>
  <c r="I124" i="59"/>
  <c r="J124" i="59"/>
  <c r="O124" i="59"/>
  <c r="O122" i="59"/>
  <c r="O118" i="59"/>
  <c r="N123" i="59"/>
  <c r="N124" i="59"/>
  <c r="N122" i="59"/>
  <c r="N118" i="59"/>
  <c r="M123" i="59"/>
  <c r="M124" i="59"/>
  <c r="M122" i="59"/>
  <c r="M118" i="59"/>
  <c r="L123" i="59"/>
  <c r="L124" i="59"/>
  <c r="L122" i="59"/>
  <c r="L118" i="59"/>
  <c r="K123" i="59"/>
  <c r="K124" i="59"/>
  <c r="K122" i="59"/>
  <c r="K118" i="59"/>
  <c r="J122" i="59"/>
  <c r="J118" i="59"/>
  <c r="I122" i="59"/>
  <c r="I118" i="59"/>
  <c r="H122" i="59"/>
  <c r="H118" i="59"/>
  <c r="H123" i="60"/>
  <c r="I123" i="60"/>
  <c r="J123" i="60"/>
  <c r="O123" i="60"/>
  <c r="H124" i="60"/>
  <c r="I124" i="60"/>
  <c r="J124" i="60"/>
  <c r="O124" i="60"/>
  <c r="O122" i="60"/>
  <c r="O118" i="60"/>
  <c r="N123" i="60"/>
  <c r="N124" i="60"/>
  <c r="N122" i="60"/>
  <c r="N118" i="60"/>
  <c r="M123" i="60"/>
  <c r="M124" i="60"/>
  <c r="M122" i="60"/>
  <c r="M118" i="60"/>
  <c r="L123" i="60"/>
  <c r="L124" i="60"/>
  <c r="L122" i="60"/>
  <c r="L118" i="60"/>
  <c r="K123" i="60"/>
  <c r="K124" i="60"/>
  <c r="K122" i="60"/>
  <c r="K118" i="60"/>
  <c r="J122" i="60"/>
  <c r="J118" i="60"/>
  <c r="I122" i="60"/>
  <c r="I118" i="60"/>
  <c r="H122" i="60"/>
  <c r="H118" i="60"/>
  <c r="H123" i="61"/>
  <c r="I123" i="61"/>
  <c r="J123" i="61"/>
  <c r="O123" i="61"/>
  <c r="H124" i="61"/>
  <c r="I124" i="61"/>
  <c r="J124" i="61"/>
  <c r="O124" i="61"/>
  <c r="O122" i="61"/>
  <c r="O118" i="61"/>
  <c r="N123" i="61"/>
  <c r="N124" i="61"/>
  <c r="N122" i="61"/>
  <c r="N118" i="61"/>
  <c r="M123" i="61"/>
  <c r="M124" i="61"/>
  <c r="M122" i="61"/>
  <c r="M118" i="61"/>
  <c r="L123" i="61"/>
  <c r="L124" i="61"/>
  <c r="L122" i="61"/>
  <c r="L118" i="61"/>
  <c r="K123" i="61"/>
  <c r="K124" i="61"/>
  <c r="K122" i="61"/>
  <c r="K118" i="61"/>
  <c r="J122" i="61"/>
  <c r="J118" i="61"/>
  <c r="I122" i="61"/>
  <c r="I118" i="61"/>
  <c r="H122" i="61"/>
  <c r="H118" i="61"/>
  <c r="I123" i="46"/>
  <c r="I124" i="46"/>
  <c r="I122" i="46"/>
  <c r="I118" i="46"/>
  <c r="J123" i="46"/>
  <c r="J124" i="46"/>
  <c r="J122" i="46"/>
  <c r="J118" i="46"/>
  <c r="K123" i="46"/>
  <c r="K124" i="46"/>
  <c r="K122" i="46"/>
  <c r="K118" i="46"/>
  <c r="L123" i="46"/>
  <c r="L124" i="46"/>
  <c r="L122" i="46"/>
  <c r="L118" i="46"/>
  <c r="M123" i="46"/>
  <c r="M124" i="46"/>
  <c r="M122" i="46"/>
  <c r="M118" i="46"/>
  <c r="N123" i="46"/>
  <c r="N124" i="46"/>
  <c r="N122" i="46"/>
  <c r="N118" i="46"/>
  <c r="H123" i="46"/>
  <c r="O123" i="46"/>
  <c r="H124" i="46"/>
  <c r="O124" i="46"/>
  <c r="O122" i="46"/>
  <c r="O118" i="46"/>
  <c r="H122" i="46"/>
  <c r="H118" i="46"/>
  <c r="H105" i="37"/>
  <c r="I105" i="37"/>
  <c r="P105" i="37"/>
  <c r="H106" i="46"/>
  <c r="J105" i="37"/>
  <c r="I106" i="46"/>
  <c r="K105" i="37"/>
  <c r="J106" i="46"/>
  <c r="O106" i="46"/>
  <c r="O105" i="46"/>
  <c r="O102" i="46"/>
  <c r="P21" i="38"/>
  <c r="O105" i="37"/>
  <c r="N106" i="46"/>
  <c r="N105" i="46"/>
  <c r="N102" i="46"/>
  <c r="N105" i="37"/>
  <c r="M106" i="46"/>
  <c r="M105" i="46"/>
  <c r="M102" i="46"/>
  <c r="M105" i="37"/>
  <c r="L106" i="46"/>
  <c r="L105" i="46"/>
  <c r="L102" i="46"/>
  <c r="L105" i="37"/>
  <c r="K106" i="46"/>
  <c r="K105" i="46"/>
  <c r="K102" i="46"/>
  <c r="J105" i="46"/>
  <c r="J102" i="46"/>
  <c r="I105" i="46"/>
  <c r="I102" i="46"/>
  <c r="H105" i="46"/>
  <c r="H102" i="46"/>
  <c r="H106" i="61"/>
  <c r="I106" i="61"/>
  <c r="J106" i="61"/>
  <c r="O106" i="61"/>
  <c r="O105" i="61"/>
  <c r="O102" i="61"/>
  <c r="N106" i="61"/>
  <c r="N105" i="61"/>
  <c r="N102" i="61"/>
  <c r="M106" i="61"/>
  <c r="M105" i="61"/>
  <c r="M102" i="61"/>
  <c r="L106" i="61"/>
  <c r="L105" i="61"/>
  <c r="L102" i="61"/>
  <c r="K106" i="61"/>
  <c r="K105" i="61"/>
  <c r="K102" i="61"/>
  <c r="J105" i="61"/>
  <c r="J102" i="61"/>
  <c r="I105" i="61"/>
  <c r="I102" i="61"/>
  <c r="H105" i="61"/>
  <c r="H102" i="61"/>
  <c r="H25" i="38"/>
  <c r="H94" i="37"/>
  <c r="I94" i="37"/>
  <c r="P94" i="37"/>
  <c r="H95" i="61"/>
  <c r="H95" i="37"/>
  <c r="I95" i="37"/>
  <c r="P95" i="37"/>
  <c r="H96" i="61"/>
  <c r="H96" i="37"/>
  <c r="I96" i="37"/>
  <c r="P96" i="37"/>
  <c r="H97" i="61"/>
  <c r="H97" i="37"/>
  <c r="I97" i="37"/>
  <c r="P97" i="37"/>
  <c r="H98" i="61"/>
  <c r="H98" i="37"/>
  <c r="I98" i="37"/>
  <c r="P98" i="37"/>
  <c r="H99" i="61"/>
  <c r="H99" i="37"/>
  <c r="I99" i="37"/>
  <c r="P99" i="37"/>
  <c r="H100" i="61"/>
  <c r="H94" i="61"/>
  <c r="J94" i="37"/>
  <c r="I95" i="61"/>
  <c r="J95" i="37"/>
  <c r="I96" i="61"/>
  <c r="J96" i="37"/>
  <c r="I97" i="61"/>
  <c r="J97" i="37"/>
  <c r="I98" i="61"/>
  <c r="J98" i="37"/>
  <c r="I99" i="61"/>
  <c r="J99" i="37"/>
  <c r="I100" i="61"/>
  <c r="I94" i="61"/>
  <c r="H106" i="60"/>
  <c r="I106" i="60"/>
  <c r="J106" i="60"/>
  <c r="O106" i="60"/>
  <c r="O105" i="60"/>
  <c r="O102" i="60"/>
  <c r="N106" i="60"/>
  <c r="N105" i="60"/>
  <c r="N102" i="60"/>
  <c r="M106" i="60"/>
  <c r="M105" i="60"/>
  <c r="M102" i="60"/>
  <c r="L106" i="60"/>
  <c r="L105" i="60"/>
  <c r="L102" i="60"/>
  <c r="K106" i="60"/>
  <c r="K105" i="60"/>
  <c r="K102" i="60"/>
  <c r="J105" i="60"/>
  <c r="J102" i="60"/>
  <c r="I105" i="60"/>
  <c r="I102" i="60"/>
  <c r="H105" i="60"/>
  <c r="H102" i="60"/>
  <c r="H106" i="59"/>
  <c r="I106" i="59"/>
  <c r="J106" i="59"/>
  <c r="O106" i="59"/>
  <c r="O105" i="59"/>
  <c r="O102" i="59"/>
  <c r="N106" i="59"/>
  <c r="N105" i="59"/>
  <c r="N102" i="59"/>
  <c r="M106" i="59"/>
  <c r="M105" i="59"/>
  <c r="M102" i="59"/>
  <c r="L106" i="59"/>
  <c r="L105" i="59"/>
  <c r="L102" i="59"/>
  <c r="K106" i="59"/>
  <c r="K105" i="59"/>
  <c r="K102" i="59"/>
  <c r="J105" i="59"/>
  <c r="J102" i="59"/>
  <c r="I105" i="59"/>
  <c r="I102" i="59"/>
  <c r="H105" i="59"/>
  <c r="H102" i="59"/>
  <c r="H106" i="45"/>
  <c r="I106" i="45"/>
  <c r="J106" i="45"/>
  <c r="O106" i="45"/>
  <c r="O105" i="45"/>
  <c r="O102" i="45"/>
  <c r="N106" i="45"/>
  <c r="N105" i="45"/>
  <c r="N102" i="45"/>
  <c r="M106" i="45"/>
  <c r="M105" i="45"/>
  <c r="M102" i="45"/>
  <c r="L106" i="45"/>
  <c r="L105" i="45"/>
  <c r="L102" i="45"/>
  <c r="K106" i="45"/>
  <c r="K105" i="45"/>
  <c r="K102" i="45"/>
  <c r="J105" i="45"/>
  <c r="J102" i="45"/>
  <c r="I105" i="45"/>
  <c r="I102" i="45"/>
  <c r="H105" i="45"/>
  <c r="H102" i="45"/>
  <c r="H106" i="57"/>
  <c r="I106" i="57"/>
  <c r="J106" i="57"/>
  <c r="O106" i="57"/>
  <c r="O105" i="57"/>
  <c r="O102" i="57"/>
  <c r="N106" i="57"/>
  <c r="N105" i="57"/>
  <c r="N102" i="57"/>
  <c r="M106" i="57"/>
  <c r="M105" i="57"/>
  <c r="M102" i="57"/>
  <c r="L106" i="57"/>
  <c r="L105" i="57"/>
  <c r="L102" i="57"/>
  <c r="K106" i="57"/>
  <c r="K105" i="57"/>
  <c r="K102" i="57"/>
  <c r="J105" i="57"/>
  <c r="J102" i="57"/>
  <c r="I105" i="57"/>
  <c r="I102" i="57"/>
  <c r="H105" i="57"/>
  <c r="H102" i="57"/>
  <c r="H106" i="58"/>
  <c r="I106" i="58"/>
  <c r="J106" i="58"/>
  <c r="O106" i="58"/>
  <c r="O105" i="58"/>
  <c r="O102" i="58"/>
  <c r="N106" i="58"/>
  <c r="N105" i="58"/>
  <c r="N102" i="58"/>
  <c r="M106" i="58"/>
  <c r="M105" i="58"/>
  <c r="M102" i="58"/>
  <c r="L106" i="58"/>
  <c r="L105" i="58"/>
  <c r="L102" i="58"/>
  <c r="K106" i="58"/>
  <c r="K105" i="58"/>
  <c r="K102" i="58"/>
  <c r="J105" i="58"/>
  <c r="J102" i="58"/>
  <c r="I105" i="58"/>
  <c r="I102" i="58"/>
  <c r="H105" i="58"/>
  <c r="H102" i="58"/>
  <c r="H106" i="44"/>
  <c r="I106" i="44"/>
  <c r="J106" i="44"/>
  <c r="O106" i="44"/>
  <c r="O105" i="44"/>
  <c r="O102" i="44"/>
  <c r="N106" i="44"/>
  <c r="N105" i="44"/>
  <c r="N102" i="44"/>
  <c r="M106" i="44"/>
  <c r="M105" i="44"/>
  <c r="M102" i="44"/>
  <c r="L106" i="44"/>
  <c r="L105" i="44"/>
  <c r="L102" i="44"/>
  <c r="K106" i="44"/>
  <c r="K105" i="44"/>
  <c r="K102" i="44"/>
  <c r="J105" i="44"/>
  <c r="J102" i="44"/>
  <c r="I105" i="44"/>
  <c r="I102" i="44"/>
  <c r="H105" i="44"/>
  <c r="H102" i="44"/>
  <c r="H106" i="56"/>
  <c r="I106" i="56"/>
  <c r="J106" i="56"/>
  <c r="O106" i="56"/>
  <c r="O105" i="56"/>
  <c r="O102" i="56"/>
  <c r="N106" i="56"/>
  <c r="N105" i="56"/>
  <c r="N102" i="56"/>
  <c r="M106" i="56"/>
  <c r="M105" i="56"/>
  <c r="M102" i="56"/>
  <c r="L106" i="56"/>
  <c r="L105" i="56"/>
  <c r="L102" i="56"/>
  <c r="K106" i="56"/>
  <c r="K105" i="56"/>
  <c r="K102" i="56"/>
  <c r="J105" i="56"/>
  <c r="J102" i="56"/>
  <c r="I105" i="56"/>
  <c r="I102" i="56"/>
  <c r="H105" i="56"/>
  <c r="H102" i="56"/>
  <c r="H106" i="55"/>
  <c r="I106" i="55"/>
  <c r="J106" i="55"/>
  <c r="O106" i="55"/>
  <c r="O105" i="55"/>
  <c r="O102" i="55"/>
  <c r="N106" i="55"/>
  <c r="N105" i="55"/>
  <c r="N102" i="55"/>
  <c r="M106" i="55"/>
  <c r="M105" i="55"/>
  <c r="M102" i="55"/>
  <c r="L106" i="55"/>
  <c r="L105" i="55"/>
  <c r="L102" i="55"/>
  <c r="K106" i="55"/>
  <c r="K105" i="55"/>
  <c r="K102" i="55"/>
  <c r="J105" i="55"/>
  <c r="J102" i="55"/>
  <c r="I105" i="55"/>
  <c r="I102" i="55"/>
  <c r="H105" i="55"/>
  <c r="H102" i="55"/>
  <c r="H106" i="54"/>
  <c r="I106" i="54"/>
  <c r="J106" i="54"/>
  <c r="O106" i="54"/>
  <c r="O105" i="54"/>
  <c r="O102" i="54"/>
  <c r="N106" i="54"/>
  <c r="N105" i="54"/>
  <c r="N102" i="54"/>
  <c r="M106" i="54"/>
  <c r="M105" i="54"/>
  <c r="M102" i="54"/>
  <c r="L106" i="54"/>
  <c r="L105" i="54"/>
  <c r="L102" i="54"/>
  <c r="K106" i="54"/>
  <c r="K105" i="54"/>
  <c r="K102" i="54"/>
  <c r="J105" i="54"/>
  <c r="J102" i="54"/>
  <c r="I105" i="54"/>
  <c r="I102" i="54"/>
  <c r="H105" i="54"/>
  <c r="H102" i="54"/>
  <c r="H106" i="53"/>
  <c r="I106" i="53"/>
  <c r="J106" i="53"/>
  <c r="O106" i="53"/>
  <c r="O105" i="53"/>
  <c r="O102" i="53"/>
  <c r="N106" i="53"/>
  <c r="N105" i="53"/>
  <c r="N102" i="53"/>
  <c r="M106" i="53"/>
  <c r="M105" i="53"/>
  <c r="M102" i="53"/>
  <c r="L106" i="53"/>
  <c r="L105" i="53"/>
  <c r="L102" i="53"/>
  <c r="K106" i="53"/>
  <c r="K105" i="53"/>
  <c r="K102" i="53"/>
  <c r="J105" i="53"/>
  <c r="J102" i="53"/>
  <c r="I105" i="53"/>
  <c r="I102" i="53"/>
  <c r="H105" i="53"/>
  <c r="H102" i="53"/>
  <c r="H106" i="52"/>
  <c r="I106" i="52"/>
  <c r="J106" i="52"/>
  <c r="O106" i="52"/>
  <c r="O105" i="52"/>
  <c r="O102" i="52"/>
  <c r="N106" i="52"/>
  <c r="N105" i="52"/>
  <c r="N102" i="52"/>
  <c r="M106" i="52"/>
  <c r="M105" i="52"/>
  <c r="M102" i="52"/>
  <c r="L106" i="52"/>
  <c r="L105" i="52"/>
  <c r="L102" i="52"/>
  <c r="K106" i="52"/>
  <c r="K105" i="52"/>
  <c r="K102" i="52"/>
  <c r="J105" i="52"/>
  <c r="J102" i="52"/>
  <c r="I105" i="52"/>
  <c r="I102" i="52"/>
  <c r="H105" i="52"/>
  <c r="H102" i="52"/>
  <c r="H106" i="51"/>
  <c r="I106" i="51"/>
  <c r="J106" i="51"/>
  <c r="O106" i="51"/>
  <c r="O105" i="51"/>
  <c r="O102" i="51"/>
  <c r="N106" i="51"/>
  <c r="N105" i="51"/>
  <c r="N102" i="51"/>
  <c r="M106" i="51"/>
  <c r="M105" i="51"/>
  <c r="M102" i="51"/>
  <c r="L106" i="51"/>
  <c r="L105" i="51"/>
  <c r="L102" i="51"/>
  <c r="K106" i="51"/>
  <c r="K105" i="51"/>
  <c r="K102" i="51"/>
  <c r="J105" i="51"/>
  <c r="J102" i="51"/>
  <c r="I105" i="51"/>
  <c r="I102" i="51"/>
  <c r="H105" i="51"/>
  <c r="H102" i="51"/>
  <c r="H106" i="50"/>
  <c r="I106" i="50"/>
  <c r="J106" i="50"/>
  <c r="O106" i="50"/>
  <c r="O105" i="50"/>
  <c r="O102" i="50"/>
  <c r="N106" i="50"/>
  <c r="N105" i="50"/>
  <c r="N102" i="50"/>
  <c r="M106" i="50"/>
  <c r="M105" i="50"/>
  <c r="M102" i="50"/>
  <c r="L106" i="50"/>
  <c r="L105" i="50"/>
  <c r="L102" i="50"/>
  <c r="K106" i="50"/>
  <c r="K105" i="50"/>
  <c r="K102" i="50"/>
  <c r="J105" i="50"/>
  <c r="J102" i="50"/>
  <c r="I105" i="50"/>
  <c r="I102" i="50"/>
  <c r="H105" i="50"/>
  <c r="H102" i="50"/>
  <c r="H106" i="49"/>
  <c r="I106" i="49"/>
  <c r="J106" i="49"/>
  <c r="O106" i="49"/>
  <c r="O105" i="49"/>
  <c r="O102" i="49"/>
  <c r="N106" i="49"/>
  <c r="N105" i="49"/>
  <c r="N102" i="49"/>
  <c r="M106" i="49"/>
  <c r="M105" i="49"/>
  <c r="M102" i="49"/>
  <c r="L106" i="49"/>
  <c r="L105" i="49"/>
  <c r="L102" i="49"/>
  <c r="K106" i="49"/>
  <c r="K105" i="49"/>
  <c r="K102" i="49"/>
  <c r="J105" i="49"/>
  <c r="J102" i="49"/>
  <c r="I105" i="49"/>
  <c r="I102" i="49"/>
  <c r="H105" i="49"/>
  <c r="H102" i="49"/>
  <c r="H106" i="48"/>
  <c r="I106" i="48"/>
  <c r="J106" i="48"/>
  <c r="O106" i="48"/>
  <c r="O105" i="48"/>
  <c r="O102" i="48"/>
  <c r="N106" i="48"/>
  <c r="N105" i="48"/>
  <c r="N102" i="48"/>
  <c r="M106" i="48"/>
  <c r="M105" i="48"/>
  <c r="M102" i="48"/>
  <c r="L106" i="48"/>
  <c r="L105" i="48"/>
  <c r="L102" i="48"/>
  <c r="K106" i="48"/>
  <c r="K105" i="48"/>
  <c r="K102" i="48"/>
  <c r="J105" i="48"/>
  <c r="J102" i="48"/>
  <c r="I105" i="48"/>
  <c r="I102" i="48"/>
  <c r="H105" i="48"/>
  <c r="H102" i="48"/>
  <c r="H106" i="47"/>
  <c r="I106" i="47"/>
  <c r="J106" i="47"/>
  <c r="O106" i="47"/>
  <c r="O105" i="47"/>
  <c r="O102" i="47"/>
  <c r="N106" i="47"/>
  <c r="N105" i="47"/>
  <c r="N102" i="47"/>
  <c r="M106" i="47"/>
  <c r="M105" i="47"/>
  <c r="M102" i="47"/>
  <c r="L106" i="47"/>
  <c r="L105" i="47"/>
  <c r="L102" i="47"/>
  <c r="K106" i="47"/>
  <c r="K105" i="47"/>
  <c r="K102" i="47"/>
  <c r="J105" i="47"/>
  <c r="J102" i="47"/>
  <c r="I105" i="47"/>
  <c r="I102" i="47"/>
  <c r="H105" i="47"/>
  <c r="H102" i="47"/>
  <c r="I123" i="43"/>
  <c r="I124" i="43"/>
  <c r="I122" i="43"/>
  <c r="I118" i="43"/>
  <c r="J123" i="43"/>
  <c r="J124" i="43"/>
  <c r="J122" i="43"/>
  <c r="J118" i="43"/>
  <c r="K123" i="43"/>
  <c r="K124" i="43"/>
  <c r="K122" i="43"/>
  <c r="K118" i="43"/>
  <c r="L123" i="43"/>
  <c r="L124" i="43"/>
  <c r="L122" i="43"/>
  <c r="L118" i="43"/>
  <c r="M123" i="43"/>
  <c r="M124" i="43"/>
  <c r="M122" i="43"/>
  <c r="M118" i="43"/>
  <c r="N123" i="43"/>
  <c r="N124" i="43"/>
  <c r="N122" i="43"/>
  <c r="N118" i="43"/>
  <c r="H123" i="43"/>
  <c r="O123" i="43"/>
  <c r="H124" i="43"/>
  <c r="O124" i="43"/>
  <c r="O122" i="43"/>
  <c r="O118" i="43"/>
  <c r="H122" i="43"/>
  <c r="H118" i="43"/>
  <c r="I106" i="43"/>
  <c r="I105" i="43"/>
  <c r="I102" i="43"/>
  <c r="J106" i="43"/>
  <c r="J105" i="43"/>
  <c r="J102" i="43"/>
  <c r="K106" i="43"/>
  <c r="K105" i="43"/>
  <c r="K102" i="43"/>
  <c r="L106" i="43"/>
  <c r="L105" i="43"/>
  <c r="L102" i="43"/>
  <c r="M106" i="43"/>
  <c r="M105" i="43"/>
  <c r="M102" i="43"/>
  <c r="N106" i="43"/>
  <c r="N105" i="43"/>
  <c r="N102" i="43"/>
  <c r="H106" i="43"/>
  <c r="O106" i="43"/>
  <c r="O105" i="43"/>
  <c r="O102" i="43"/>
  <c r="H105" i="43"/>
  <c r="H102" i="43"/>
  <c r="H120" i="39"/>
  <c r="I120" i="39"/>
  <c r="J120" i="39"/>
  <c r="O120" i="39"/>
  <c r="H121" i="39"/>
  <c r="I121" i="39"/>
  <c r="J121" i="39"/>
  <c r="O121" i="39"/>
  <c r="O119" i="39"/>
  <c r="N226" i="39"/>
  <c r="H104" i="39"/>
  <c r="I104" i="39"/>
  <c r="J104" i="39"/>
  <c r="O104" i="39"/>
  <c r="O103" i="39"/>
  <c r="N225" i="39"/>
  <c r="N224" i="39"/>
  <c r="I123" i="39"/>
  <c r="I124" i="39"/>
  <c r="I122" i="39"/>
  <c r="I118" i="39"/>
  <c r="J123" i="39"/>
  <c r="J124" i="39"/>
  <c r="J122" i="39"/>
  <c r="J118" i="39"/>
  <c r="K123" i="39"/>
  <c r="K124" i="39"/>
  <c r="K122" i="39"/>
  <c r="K118" i="39"/>
  <c r="L123" i="39"/>
  <c r="L124" i="39"/>
  <c r="L122" i="39"/>
  <c r="L118" i="39"/>
  <c r="M123" i="39"/>
  <c r="M124" i="39"/>
  <c r="M122" i="39"/>
  <c r="M118" i="39"/>
  <c r="N123" i="39"/>
  <c r="N124" i="39"/>
  <c r="N122" i="39"/>
  <c r="N118" i="39"/>
  <c r="H123" i="39"/>
  <c r="O123" i="39"/>
  <c r="H124" i="39"/>
  <c r="O124" i="39"/>
  <c r="O122" i="39"/>
  <c r="O118" i="39"/>
  <c r="H122" i="39"/>
  <c r="H118" i="39"/>
  <c r="I106" i="39"/>
  <c r="I105" i="39"/>
  <c r="I102" i="39"/>
  <c r="J106" i="39"/>
  <c r="J105" i="39"/>
  <c r="J102" i="39"/>
  <c r="K106" i="39"/>
  <c r="K105" i="39"/>
  <c r="K102" i="39"/>
  <c r="L106" i="39"/>
  <c r="L105" i="39"/>
  <c r="L102" i="39"/>
  <c r="M106" i="39"/>
  <c r="M105" i="39"/>
  <c r="M102" i="39"/>
  <c r="N106" i="39"/>
  <c r="N105" i="39"/>
  <c r="N102" i="39"/>
  <c r="H106" i="39"/>
  <c r="O106" i="39"/>
  <c r="O105" i="39"/>
  <c r="O102" i="39"/>
  <c r="H105" i="39"/>
  <c r="H102" i="39"/>
  <c r="H148" i="37"/>
  <c r="O148" i="37"/>
  <c r="N149" i="46"/>
  <c r="M149" i="46"/>
  <c r="L149" i="46"/>
  <c r="K149" i="46"/>
  <c r="K148" i="37"/>
  <c r="J149" i="46"/>
  <c r="J148" i="37"/>
  <c r="I149" i="46"/>
  <c r="I148" i="37"/>
  <c r="P148" i="37"/>
  <c r="H149" i="46"/>
  <c r="H147" i="37"/>
  <c r="O147" i="37"/>
  <c r="N148" i="46"/>
  <c r="M148" i="46"/>
  <c r="L148" i="46"/>
  <c r="K148" i="46"/>
  <c r="K147" i="37"/>
  <c r="J148" i="46"/>
  <c r="J147" i="37"/>
  <c r="I148" i="46"/>
  <c r="I147" i="37"/>
  <c r="P147" i="37"/>
  <c r="H148" i="46"/>
  <c r="H146" i="37"/>
  <c r="P20" i="38"/>
  <c r="O146" i="37"/>
  <c r="N147" i="46"/>
  <c r="M147" i="46"/>
  <c r="L147" i="46"/>
  <c r="K147" i="46"/>
  <c r="K146" i="37"/>
  <c r="J147" i="46"/>
  <c r="J146" i="37"/>
  <c r="I147" i="46"/>
  <c r="I146" i="37"/>
  <c r="P146" i="37"/>
  <c r="H147" i="46"/>
  <c r="H145" i="37"/>
  <c r="P19" i="38"/>
  <c r="O145" i="37"/>
  <c r="N146" i="46"/>
  <c r="N145" i="37"/>
  <c r="M146" i="46"/>
  <c r="M145" i="37"/>
  <c r="L146" i="46"/>
  <c r="L145" i="37"/>
  <c r="K146" i="46"/>
  <c r="K145" i="37"/>
  <c r="J146" i="46"/>
  <c r="J145" i="37"/>
  <c r="I146" i="46"/>
  <c r="I145" i="37"/>
  <c r="P145" i="37"/>
  <c r="H146" i="46"/>
  <c r="O146" i="46"/>
  <c r="N149" i="61"/>
  <c r="M149" i="61"/>
  <c r="L149" i="61"/>
  <c r="K149" i="61"/>
  <c r="J149" i="61"/>
  <c r="I149" i="61"/>
  <c r="H149" i="61"/>
  <c r="O149" i="61"/>
  <c r="N148" i="61"/>
  <c r="M148" i="61"/>
  <c r="L148" i="61"/>
  <c r="K148" i="61"/>
  <c r="J148" i="61"/>
  <c r="I148" i="61"/>
  <c r="H148" i="61"/>
  <c r="O148" i="61"/>
  <c r="N147" i="61"/>
  <c r="M147" i="61"/>
  <c r="L147" i="61"/>
  <c r="K147" i="61"/>
  <c r="J147" i="61"/>
  <c r="I147" i="61"/>
  <c r="H147" i="61"/>
  <c r="O147" i="61"/>
  <c r="N146" i="61"/>
  <c r="M146" i="61"/>
  <c r="L146" i="61"/>
  <c r="K146" i="61"/>
  <c r="J146" i="61"/>
  <c r="I146" i="61"/>
  <c r="H146" i="61"/>
  <c r="O146" i="61"/>
  <c r="N149" i="60"/>
  <c r="M149" i="60"/>
  <c r="L149" i="60"/>
  <c r="K149" i="60"/>
  <c r="J149" i="60"/>
  <c r="I149" i="60"/>
  <c r="H149" i="60"/>
  <c r="N148" i="60"/>
  <c r="M148" i="60"/>
  <c r="L148" i="60"/>
  <c r="K148" i="60"/>
  <c r="J148" i="60"/>
  <c r="I148" i="60"/>
  <c r="H148" i="60"/>
  <c r="N147" i="60"/>
  <c r="M147" i="60"/>
  <c r="L147" i="60"/>
  <c r="K147" i="60"/>
  <c r="J147" i="60"/>
  <c r="I147" i="60"/>
  <c r="H147" i="60"/>
  <c r="N146" i="60"/>
  <c r="M146" i="60"/>
  <c r="L146" i="60"/>
  <c r="K146" i="60"/>
  <c r="J146" i="60"/>
  <c r="I146" i="60"/>
  <c r="H146" i="60"/>
  <c r="O146" i="60"/>
  <c r="N149" i="59"/>
  <c r="M149" i="59"/>
  <c r="L149" i="59"/>
  <c r="K149" i="59"/>
  <c r="J149" i="59"/>
  <c r="I149" i="59"/>
  <c r="H149" i="59"/>
  <c r="N148" i="59"/>
  <c r="M148" i="59"/>
  <c r="L148" i="59"/>
  <c r="K148" i="59"/>
  <c r="J148" i="59"/>
  <c r="I148" i="59"/>
  <c r="H148" i="59"/>
  <c r="N147" i="59"/>
  <c r="M147" i="59"/>
  <c r="L147" i="59"/>
  <c r="K147" i="59"/>
  <c r="J147" i="59"/>
  <c r="I147" i="59"/>
  <c r="H147" i="59"/>
  <c r="N146" i="59"/>
  <c r="M146" i="59"/>
  <c r="L146" i="59"/>
  <c r="K146" i="59"/>
  <c r="J146" i="59"/>
  <c r="I146" i="59"/>
  <c r="H146" i="59"/>
  <c r="O146" i="59"/>
  <c r="N149" i="45"/>
  <c r="M149" i="45"/>
  <c r="L149" i="45"/>
  <c r="K149" i="45"/>
  <c r="J149" i="45"/>
  <c r="I149" i="45"/>
  <c r="H149" i="45"/>
  <c r="O149" i="45"/>
  <c r="N148" i="45"/>
  <c r="M148" i="45"/>
  <c r="L148" i="45"/>
  <c r="K148" i="45"/>
  <c r="J148" i="45"/>
  <c r="I148" i="45"/>
  <c r="H148" i="45"/>
  <c r="O148" i="45"/>
  <c r="N147" i="45"/>
  <c r="M147" i="45"/>
  <c r="L147" i="45"/>
  <c r="K147" i="45"/>
  <c r="J147" i="45"/>
  <c r="I147" i="45"/>
  <c r="H147" i="45"/>
  <c r="O147" i="45"/>
  <c r="N146" i="45"/>
  <c r="M146" i="45"/>
  <c r="L146" i="45"/>
  <c r="K146" i="45"/>
  <c r="J146" i="45"/>
  <c r="I146" i="45"/>
  <c r="H146" i="45"/>
  <c r="O146" i="45"/>
  <c r="N149" i="57"/>
  <c r="M149" i="57"/>
  <c r="L149" i="57"/>
  <c r="K149" i="57"/>
  <c r="J149" i="57"/>
  <c r="I149" i="57"/>
  <c r="H149" i="57"/>
  <c r="O149" i="57"/>
  <c r="N148" i="57"/>
  <c r="M148" i="57"/>
  <c r="L148" i="57"/>
  <c r="K148" i="57"/>
  <c r="J148" i="57"/>
  <c r="I148" i="57"/>
  <c r="H148" i="57"/>
  <c r="O148" i="57"/>
  <c r="N147" i="57"/>
  <c r="M147" i="57"/>
  <c r="L147" i="57"/>
  <c r="K147" i="57"/>
  <c r="J147" i="57"/>
  <c r="I147" i="57"/>
  <c r="H147" i="57"/>
  <c r="O147" i="57"/>
  <c r="N146" i="57"/>
  <c r="M146" i="57"/>
  <c r="L146" i="57"/>
  <c r="K146" i="57"/>
  <c r="J146" i="57"/>
  <c r="I146" i="57"/>
  <c r="H146" i="57"/>
  <c r="O146" i="57"/>
  <c r="N149" i="58"/>
  <c r="M149" i="58"/>
  <c r="L149" i="58"/>
  <c r="K149" i="58"/>
  <c r="J149" i="58"/>
  <c r="I149" i="58"/>
  <c r="H149" i="58"/>
  <c r="O149" i="58"/>
  <c r="N148" i="58"/>
  <c r="M148" i="58"/>
  <c r="L148" i="58"/>
  <c r="K148" i="58"/>
  <c r="J148" i="58"/>
  <c r="I148" i="58"/>
  <c r="H148" i="58"/>
  <c r="O148" i="58"/>
  <c r="N147" i="58"/>
  <c r="M147" i="58"/>
  <c r="L147" i="58"/>
  <c r="K147" i="58"/>
  <c r="J147" i="58"/>
  <c r="I147" i="58"/>
  <c r="H147" i="58"/>
  <c r="O147" i="58"/>
  <c r="N146" i="58"/>
  <c r="M146" i="58"/>
  <c r="L146" i="58"/>
  <c r="K146" i="58"/>
  <c r="J146" i="58"/>
  <c r="I146" i="58"/>
  <c r="H146" i="58"/>
  <c r="O146" i="58"/>
  <c r="N149" i="56"/>
  <c r="M149" i="56"/>
  <c r="L149" i="56"/>
  <c r="K149" i="56"/>
  <c r="J149" i="56"/>
  <c r="I149" i="56"/>
  <c r="H149" i="56"/>
  <c r="O149" i="56"/>
  <c r="N148" i="56"/>
  <c r="M148" i="56"/>
  <c r="L148" i="56"/>
  <c r="K148" i="56"/>
  <c r="J148" i="56"/>
  <c r="I148" i="56"/>
  <c r="H148" i="56"/>
  <c r="O148" i="56"/>
  <c r="N147" i="56"/>
  <c r="M147" i="56"/>
  <c r="L147" i="56"/>
  <c r="K147" i="56"/>
  <c r="J147" i="56"/>
  <c r="I147" i="56"/>
  <c r="H147" i="56"/>
  <c r="O147" i="56"/>
  <c r="N146" i="56"/>
  <c r="M146" i="56"/>
  <c r="L146" i="56"/>
  <c r="K146" i="56"/>
  <c r="J146" i="56"/>
  <c r="I146" i="56"/>
  <c r="H146" i="56"/>
  <c r="O146" i="56"/>
  <c r="N149" i="55"/>
  <c r="M149" i="55"/>
  <c r="L149" i="55"/>
  <c r="K149" i="55"/>
  <c r="J149" i="55"/>
  <c r="I149" i="55"/>
  <c r="H149" i="55"/>
  <c r="O149" i="55"/>
  <c r="N148" i="55"/>
  <c r="M148" i="55"/>
  <c r="L148" i="55"/>
  <c r="K148" i="55"/>
  <c r="J148" i="55"/>
  <c r="I148" i="55"/>
  <c r="H148" i="55"/>
  <c r="O148" i="55"/>
  <c r="N147" i="55"/>
  <c r="M147" i="55"/>
  <c r="L147" i="55"/>
  <c r="K147" i="55"/>
  <c r="J147" i="55"/>
  <c r="I147" i="55"/>
  <c r="H147" i="55"/>
  <c r="O147" i="55"/>
  <c r="N146" i="55"/>
  <c r="M146" i="55"/>
  <c r="L146" i="55"/>
  <c r="K146" i="55"/>
  <c r="J146" i="55"/>
  <c r="I146" i="55"/>
  <c r="H146" i="55"/>
  <c r="O146" i="55"/>
  <c r="N149" i="54"/>
  <c r="M149" i="54"/>
  <c r="L149" i="54"/>
  <c r="K149" i="54"/>
  <c r="J149" i="54"/>
  <c r="I149" i="54"/>
  <c r="H149" i="54"/>
  <c r="O149" i="54"/>
  <c r="N148" i="54"/>
  <c r="M148" i="54"/>
  <c r="L148" i="54"/>
  <c r="K148" i="54"/>
  <c r="J148" i="54"/>
  <c r="I148" i="54"/>
  <c r="H148" i="54"/>
  <c r="O148" i="54"/>
  <c r="N147" i="54"/>
  <c r="M147" i="54"/>
  <c r="L147" i="54"/>
  <c r="K147" i="54"/>
  <c r="J147" i="54"/>
  <c r="I147" i="54"/>
  <c r="H147" i="54"/>
  <c r="O147" i="54"/>
  <c r="N146" i="54"/>
  <c r="M146" i="54"/>
  <c r="L146" i="54"/>
  <c r="K146" i="54"/>
  <c r="J146" i="54"/>
  <c r="I146" i="54"/>
  <c r="H146" i="54"/>
  <c r="O146" i="54"/>
  <c r="N149" i="53"/>
  <c r="M149" i="53"/>
  <c r="L149" i="53"/>
  <c r="K149" i="53"/>
  <c r="J149" i="53"/>
  <c r="I149" i="53"/>
  <c r="H149" i="53"/>
  <c r="O149" i="53"/>
  <c r="N148" i="53"/>
  <c r="M148" i="53"/>
  <c r="L148" i="53"/>
  <c r="K148" i="53"/>
  <c r="J148" i="53"/>
  <c r="I148" i="53"/>
  <c r="H148" i="53"/>
  <c r="O148" i="53"/>
  <c r="N147" i="53"/>
  <c r="M147" i="53"/>
  <c r="L147" i="53"/>
  <c r="K147" i="53"/>
  <c r="J147" i="53"/>
  <c r="I147" i="53"/>
  <c r="H147" i="53"/>
  <c r="O147" i="53"/>
  <c r="N146" i="53"/>
  <c r="M146" i="53"/>
  <c r="L146" i="53"/>
  <c r="K146" i="53"/>
  <c r="J146" i="53"/>
  <c r="I146" i="53"/>
  <c r="H146" i="53"/>
  <c r="O146" i="53"/>
  <c r="N149" i="52"/>
  <c r="M149" i="52"/>
  <c r="L149" i="52"/>
  <c r="K149" i="52"/>
  <c r="J149" i="52"/>
  <c r="I149" i="52"/>
  <c r="H149" i="52"/>
  <c r="O149" i="52"/>
  <c r="N148" i="52"/>
  <c r="M148" i="52"/>
  <c r="L148" i="52"/>
  <c r="K148" i="52"/>
  <c r="J148" i="52"/>
  <c r="I148" i="52"/>
  <c r="H148" i="52"/>
  <c r="O148" i="52"/>
  <c r="N147" i="52"/>
  <c r="M147" i="52"/>
  <c r="L147" i="52"/>
  <c r="K147" i="52"/>
  <c r="J147" i="52"/>
  <c r="I147" i="52"/>
  <c r="H147" i="52"/>
  <c r="O147" i="52"/>
  <c r="N146" i="52"/>
  <c r="M146" i="52"/>
  <c r="L146" i="52"/>
  <c r="K146" i="52"/>
  <c r="J146" i="52"/>
  <c r="I146" i="52"/>
  <c r="H146" i="52"/>
  <c r="O146" i="52"/>
  <c r="N149" i="51"/>
  <c r="M149" i="51"/>
  <c r="L149" i="51"/>
  <c r="K149" i="51"/>
  <c r="J149" i="51"/>
  <c r="I149" i="51"/>
  <c r="H149" i="51"/>
  <c r="O149" i="51"/>
  <c r="N148" i="51"/>
  <c r="M148" i="51"/>
  <c r="L148" i="51"/>
  <c r="K148" i="51"/>
  <c r="J148" i="51"/>
  <c r="I148" i="51"/>
  <c r="H148" i="51"/>
  <c r="O148" i="51"/>
  <c r="N147" i="51"/>
  <c r="M147" i="51"/>
  <c r="L147" i="51"/>
  <c r="K147" i="51"/>
  <c r="J147" i="51"/>
  <c r="I147" i="51"/>
  <c r="H147" i="51"/>
  <c r="O147" i="51"/>
  <c r="N146" i="51"/>
  <c r="M146" i="51"/>
  <c r="L146" i="51"/>
  <c r="K146" i="51"/>
  <c r="J146" i="51"/>
  <c r="I146" i="51"/>
  <c r="H146" i="51"/>
  <c r="O146" i="51"/>
  <c r="N149" i="50"/>
  <c r="M149" i="50"/>
  <c r="L149" i="50"/>
  <c r="K149" i="50"/>
  <c r="J149" i="50"/>
  <c r="I149" i="50"/>
  <c r="H149" i="50"/>
  <c r="N148" i="50"/>
  <c r="M148" i="50"/>
  <c r="L148" i="50"/>
  <c r="K148" i="50"/>
  <c r="J148" i="50"/>
  <c r="I148" i="50"/>
  <c r="H148" i="50"/>
  <c r="N147" i="50"/>
  <c r="M147" i="50"/>
  <c r="L147" i="50"/>
  <c r="K147" i="50"/>
  <c r="J147" i="50"/>
  <c r="I147" i="50"/>
  <c r="H147" i="50"/>
  <c r="N146" i="50"/>
  <c r="M146" i="50"/>
  <c r="L146" i="50"/>
  <c r="K146" i="50"/>
  <c r="J146" i="50"/>
  <c r="I146" i="50"/>
  <c r="H146" i="50"/>
  <c r="O146" i="50"/>
  <c r="H34" i="37"/>
  <c r="I34" i="37"/>
  <c r="P34" i="37"/>
  <c r="H35" i="50"/>
  <c r="J34" i="37"/>
  <c r="I35" i="50"/>
  <c r="K34" i="37"/>
  <c r="J35" i="50"/>
  <c r="K35" i="50"/>
  <c r="L35" i="50"/>
  <c r="M35" i="50"/>
  <c r="P12" i="38"/>
  <c r="O34" i="37"/>
  <c r="N35" i="50"/>
  <c r="N149" i="49"/>
  <c r="M149" i="49"/>
  <c r="L149" i="49"/>
  <c r="K149" i="49"/>
  <c r="J149" i="49"/>
  <c r="I149" i="49"/>
  <c r="H149" i="49"/>
  <c r="O149" i="49"/>
  <c r="N148" i="49"/>
  <c r="M148" i="49"/>
  <c r="L148" i="49"/>
  <c r="K148" i="49"/>
  <c r="J148" i="49"/>
  <c r="I148" i="49"/>
  <c r="H148" i="49"/>
  <c r="O148" i="49"/>
  <c r="N147" i="49"/>
  <c r="M147" i="49"/>
  <c r="L147" i="49"/>
  <c r="K147" i="49"/>
  <c r="J147" i="49"/>
  <c r="I147" i="49"/>
  <c r="H147" i="49"/>
  <c r="O147" i="49"/>
  <c r="N146" i="49"/>
  <c r="M146" i="49"/>
  <c r="L146" i="49"/>
  <c r="K146" i="49"/>
  <c r="J146" i="49"/>
  <c r="I146" i="49"/>
  <c r="H146" i="49"/>
  <c r="O146" i="49"/>
  <c r="N149" i="48"/>
  <c r="M149" i="48"/>
  <c r="L149" i="48"/>
  <c r="K149" i="48"/>
  <c r="J149" i="48"/>
  <c r="I149" i="48"/>
  <c r="H149" i="48"/>
  <c r="O149" i="48"/>
  <c r="N148" i="48"/>
  <c r="M148" i="48"/>
  <c r="L148" i="48"/>
  <c r="K148" i="48"/>
  <c r="J148" i="48"/>
  <c r="I148" i="48"/>
  <c r="H148" i="48"/>
  <c r="O148" i="48"/>
  <c r="N147" i="48"/>
  <c r="M147" i="48"/>
  <c r="L147" i="48"/>
  <c r="K147" i="48"/>
  <c r="J147" i="48"/>
  <c r="I147" i="48"/>
  <c r="H147" i="48"/>
  <c r="O147" i="48"/>
  <c r="N146" i="48"/>
  <c r="M146" i="48"/>
  <c r="L146" i="48"/>
  <c r="K146" i="48"/>
  <c r="J146" i="48"/>
  <c r="I146" i="48"/>
  <c r="H146" i="48"/>
  <c r="O146" i="48"/>
  <c r="N149" i="47"/>
  <c r="M149" i="47"/>
  <c r="L149" i="47"/>
  <c r="K149" i="47"/>
  <c r="J149" i="47"/>
  <c r="I149" i="47"/>
  <c r="H149" i="47"/>
  <c r="N148" i="47"/>
  <c r="M148" i="47"/>
  <c r="L148" i="47"/>
  <c r="K148" i="47"/>
  <c r="J148" i="47"/>
  <c r="I148" i="47"/>
  <c r="H148" i="47"/>
  <c r="N147" i="47"/>
  <c r="M147" i="47"/>
  <c r="L147" i="47"/>
  <c r="K147" i="47"/>
  <c r="J147" i="47"/>
  <c r="I147" i="47"/>
  <c r="H147" i="47"/>
  <c r="N146" i="47"/>
  <c r="M146" i="47"/>
  <c r="L146" i="47"/>
  <c r="K146" i="47"/>
  <c r="J146" i="47"/>
  <c r="I146" i="47"/>
  <c r="H146" i="47"/>
  <c r="O146" i="47"/>
  <c r="N149" i="43"/>
  <c r="M149" i="43"/>
  <c r="L149" i="43"/>
  <c r="K149" i="43"/>
  <c r="J149" i="43"/>
  <c r="I149" i="43"/>
  <c r="H149" i="43"/>
  <c r="O149" i="43"/>
  <c r="N148" i="43"/>
  <c r="M148" i="43"/>
  <c r="L148" i="43"/>
  <c r="K148" i="43"/>
  <c r="J148" i="43"/>
  <c r="I148" i="43"/>
  <c r="H148" i="43"/>
  <c r="H147" i="43"/>
  <c r="I147" i="43"/>
  <c r="J147" i="43"/>
  <c r="O147" i="43"/>
  <c r="N147" i="43"/>
  <c r="M147" i="43"/>
  <c r="L147" i="43"/>
  <c r="K147" i="43"/>
  <c r="N146" i="43"/>
  <c r="M146" i="43"/>
  <c r="L146" i="43"/>
  <c r="K146" i="43"/>
  <c r="J146" i="43"/>
  <c r="I146" i="43"/>
  <c r="H146" i="43"/>
  <c r="N149" i="39"/>
  <c r="M149" i="39"/>
  <c r="L149" i="39"/>
  <c r="K149" i="39"/>
  <c r="J149" i="39"/>
  <c r="I149" i="39"/>
  <c r="H149" i="39"/>
  <c r="O149" i="39"/>
  <c r="N148" i="39"/>
  <c r="M148" i="39"/>
  <c r="L148" i="39"/>
  <c r="K148" i="39"/>
  <c r="J148" i="39"/>
  <c r="I148" i="39"/>
  <c r="H148" i="39"/>
  <c r="N147" i="39"/>
  <c r="M147" i="39"/>
  <c r="L147" i="39"/>
  <c r="K147" i="39"/>
  <c r="J147" i="39"/>
  <c r="I147" i="39"/>
  <c r="H147" i="39"/>
  <c r="O147" i="39"/>
  <c r="N146" i="39"/>
  <c r="M146" i="39"/>
  <c r="L146" i="39"/>
  <c r="K146" i="39"/>
  <c r="J146" i="39"/>
  <c r="I146" i="39"/>
  <c r="H146" i="39"/>
  <c r="H149" i="44"/>
  <c r="I149" i="44"/>
  <c r="J149" i="44"/>
  <c r="O149" i="44"/>
  <c r="N149" i="44"/>
  <c r="M149" i="44"/>
  <c r="L149" i="44"/>
  <c r="K149" i="44"/>
  <c r="H148" i="44"/>
  <c r="I148" i="44"/>
  <c r="J148" i="44"/>
  <c r="O148" i="44"/>
  <c r="N148" i="44"/>
  <c r="M148" i="44"/>
  <c r="L148" i="44"/>
  <c r="K148" i="44"/>
  <c r="H147" i="44"/>
  <c r="I147" i="44"/>
  <c r="J147" i="44"/>
  <c r="O147" i="44"/>
  <c r="N147" i="44"/>
  <c r="M147" i="44"/>
  <c r="L147" i="44"/>
  <c r="K147" i="44"/>
  <c r="N146" i="44"/>
  <c r="M146" i="44"/>
  <c r="L146" i="44"/>
  <c r="K146" i="44"/>
  <c r="J146" i="44"/>
  <c r="I146" i="44"/>
  <c r="H146" i="44"/>
  <c r="O82" i="37"/>
  <c r="P82" i="37"/>
  <c r="H82" i="37"/>
  <c r="I82" i="37"/>
  <c r="J82" i="37"/>
  <c r="K82" i="37"/>
  <c r="O148" i="39"/>
  <c r="O147" i="59"/>
  <c r="O147" i="46"/>
  <c r="O146" i="44"/>
  <c r="O146" i="43"/>
  <c r="O148" i="47"/>
  <c r="O35" i="50"/>
  <c r="O148" i="50"/>
  <c r="O148" i="59"/>
  <c r="O148" i="60"/>
  <c r="O148" i="46"/>
  <c r="O147" i="47"/>
  <c r="O147" i="50"/>
  <c r="O147" i="60"/>
  <c r="O146" i="39"/>
  <c r="O148" i="43"/>
  <c r="O149" i="47"/>
  <c r="O149" i="50"/>
  <c r="O149" i="59"/>
  <c r="O149" i="60"/>
  <c r="O149" i="46"/>
  <c r="N220" i="61"/>
  <c r="N219" i="37"/>
  <c r="M220" i="61"/>
  <c r="L220" i="61"/>
  <c r="K220" i="61"/>
  <c r="K219" i="37"/>
  <c r="J220" i="61"/>
  <c r="I219" i="37"/>
  <c r="H220" i="61"/>
  <c r="J219" i="37"/>
  <c r="I220" i="61"/>
  <c r="O220" i="61"/>
  <c r="N218" i="61"/>
  <c r="N217" i="37"/>
  <c r="M218" i="61"/>
  <c r="L218" i="61"/>
  <c r="K218" i="61"/>
  <c r="K217" i="37"/>
  <c r="J218" i="61"/>
  <c r="J217" i="37"/>
  <c r="I218" i="61"/>
  <c r="I217" i="37"/>
  <c r="H218" i="61"/>
  <c r="N215" i="61"/>
  <c r="N214" i="37"/>
  <c r="M215" i="61"/>
  <c r="L215" i="61"/>
  <c r="K215" i="61"/>
  <c r="J215" i="61"/>
  <c r="J214" i="37"/>
  <c r="I215" i="61"/>
  <c r="I214" i="37"/>
  <c r="H215" i="61"/>
  <c r="I206" i="37"/>
  <c r="H207" i="61"/>
  <c r="I208" i="37"/>
  <c r="H209" i="61"/>
  <c r="I212" i="37"/>
  <c r="H213" i="61"/>
  <c r="H204" i="61"/>
  <c r="N213" i="61"/>
  <c r="M213" i="61"/>
  <c r="L213" i="61"/>
  <c r="K213" i="61"/>
  <c r="J213" i="61"/>
  <c r="I213" i="61"/>
  <c r="N209" i="61"/>
  <c r="N208" i="37"/>
  <c r="M209" i="61"/>
  <c r="L209" i="61"/>
  <c r="K209" i="61"/>
  <c r="K208" i="37"/>
  <c r="J209" i="61"/>
  <c r="J208" i="37"/>
  <c r="I209" i="61"/>
  <c r="O209" i="61"/>
  <c r="N207" i="61"/>
  <c r="N206" i="37"/>
  <c r="M207" i="61"/>
  <c r="L207" i="61"/>
  <c r="K207" i="61"/>
  <c r="J207" i="61"/>
  <c r="J206" i="37"/>
  <c r="I207" i="61"/>
  <c r="N203" i="61"/>
  <c r="M203" i="61"/>
  <c r="L203" i="61"/>
  <c r="K203" i="61"/>
  <c r="J203" i="61"/>
  <c r="J202" i="37"/>
  <c r="I203" i="61"/>
  <c r="H203" i="61"/>
  <c r="N201" i="61"/>
  <c r="M201" i="61"/>
  <c r="L201" i="61"/>
  <c r="K201" i="61"/>
  <c r="J201" i="61"/>
  <c r="J200" i="37"/>
  <c r="I201" i="61"/>
  <c r="H201" i="61"/>
  <c r="N198" i="61"/>
  <c r="N197" i="37"/>
  <c r="M198" i="61"/>
  <c r="L198" i="61"/>
  <c r="K198" i="61"/>
  <c r="J198" i="61"/>
  <c r="J197" i="37"/>
  <c r="I198" i="61"/>
  <c r="I197" i="37"/>
  <c r="H198" i="61"/>
  <c r="N196" i="61"/>
  <c r="N195" i="37"/>
  <c r="M196" i="61"/>
  <c r="L196" i="61"/>
  <c r="K196" i="61"/>
  <c r="J196" i="61"/>
  <c r="J195" i="37"/>
  <c r="I196" i="61"/>
  <c r="I195" i="37"/>
  <c r="H196" i="61"/>
  <c r="N193" i="61"/>
  <c r="N192" i="37"/>
  <c r="M193" i="61"/>
  <c r="L193" i="61"/>
  <c r="K193" i="61"/>
  <c r="J193" i="61"/>
  <c r="J192" i="37"/>
  <c r="I193" i="61"/>
  <c r="I192" i="37"/>
  <c r="H193" i="61"/>
  <c r="O193" i="61"/>
  <c r="N191" i="61"/>
  <c r="N190" i="37"/>
  <c r="M191" i="61"/>
  <c r="L191" i="61"/>
  <c r="K191" i="61"/>
  <c r="J191" i="61"/>
  <c r="J190" i="37"/>
  <c r="I191" i="61"/>
  <c r="I190" i="37"/>
  <c r="H191" i="61"/>
  <c r="N186" i="61"/>
  <c r="M186" i="61"/>
  <c r="L186" i="61"/>
  <c r="L185" i="37"/>
  <c r="K186" i="61"/>
  <c r="J186" i="61"/>
  <c r="I186" i="61"/>
  <c r="I185" i="37"/>
  <c r="H186" i="61"/>
  <c r="N185" i="61"/>
  <c r="M185" i="61"/>
  <c r="L185" i="61"/>
  <c r="K185" i="61"/>
  <c r="J185" i="61"/>
  <c r="I185" i="61"/>
  <c r="H185" i="61"/>
  <c r="O185" i="61"/>
  <c r="N183" i="61"/>
  <c r="M183" i="61"/>
  <c r="L183" i="61"/>
  <c r="K183" i="61"/>
  <c r="J183" i="61"/>
  <c r="J182" i="37"/>
  <c r="I183" i="61"/>
  <c r="H183" i="61"/>
  <c r="O180" i="37"/>
  <c r="N181" i="61"/>
  <c r="N180" i="37"/>
  <c r="M181" i="61"/>
  <c r="M180" i="37"/>
  <c r="L181" i="61"/>
  <c r="L180" i="37"/>
  <c r="K181" i="61"/>
  <c r="J181" i="61"/>
  <c r="J180" i="37"/>
  <c r="I181" i="61"/>
  <c r="H181" i="61"/>
  <c r="O181" i="61"/>
  <c r="N178" i="61"/>
  <c r="N177" i="37"/>
  <c r="M178" i="61"/>
  <c r="L178" i="61"/>
  <c r="K178" i="61"/>
  <c r="J178" i="61"/>
  <c r="J177" i="37"/>
  <c r="I178" i="61"/>
  <c r="I177" i="37"/>
  <c r="H178" i="61"/>
  <c r="N177" i="61"/>
  <c r="M177" i="61"/>
  <c r="L177" i="61"/>
  <c r="K177" i="61"/>
  <c r="J177" i="61"/>
  <c r="J176" i="37"/>
  <c r="I177" i="61"/>
  <c r="H177" i="61"/>
  <c r="N175" i="61"/>
  <c r="N174" i="37"/>
  <c r="M175" i="61"/>
  <c r="L175" i="61"/>
  <c r="L171" i="61"/>
  <c r="L172" i="61"/>
  <c r="L173" i="61"/>
  <c r="L169" i="61"/>
  <c r="K175" i="61"/>
  <c r="J175" i="61"/>
  <c r="J174" i="37"/>
  <c r="I175" i="61"/>
  <c r="I174" i="37"/>
  <c r="H175" i="61"/>
  <c r="N173" i="61"/>
  <c r="N172" i="37"/>
  <c r="M173" i="61"/>
  <c r="K173" i="61"/>
  <c r="K172" i="37"/>
  <c r="J173" i="61"/>
  <c r="J172" i="37"/>
  <c r="I173" i="61"/>
  <c r="I172" i="37"/>
  <c r="H173" i="61"/>
  <c r="N172" i="61"/>
  <c r="N171" i="37"/>
  <c r="M172" i="61"/>
  <c r="K172" i="61"/>
  <c r="K171" i="37"/>
  <c r="J172" i="61"/>
  <c r="J171" i="37"/>
  <c r="I172" i="61"/>
  <c r="I171" i="37"/>
  <c r="H172" i="61"/>
  <c r="N171" i="61"/>
  <c r="N170" i="37"/>
  <c r="M171" i="61"/>
  <c r="M169" i="61"/>
  <c r="K171" i="61"/>
  <c r="K170" i="37"/>
  <c r="J171" i="61"/>
  <c r="J170" i="37"/>
  <c r="I171" i="61"/>
  <c r="I170" i="37"/>
  <c r="H171" i="61"/>
  <c r="N152" i="61"/>
  <c r="M152" i="61"/>
  <c r="M151" i="61"/>
  <c r="M150" i="61"/>
  <c r="L152" i="61"/>
  <c r="L151" i="61"/>
  <c r="L150" i="61"/>
  <c r="K152" i="61"/>
  <c r="J152" i="61"/>
  <c r="I152" i="61"/>
  <c r="I151" i="61"/>
  <c r="I150" i="61"/>
  <c r="H152" i="61"/>
  <c r="N151" i="61"/>
  <c r="K151" i="61"/>
  <c r="J151" i="61"/>
  <c r="H151" i="61"/>
  <c r="L145" i="61"/>
  <c r="H145" i="61"/>
  <c r="K145" i="61"/>
  <c r="N145" i="61"/>
  <c r="J145" i="61"/>
  <c r="H143" i="37"/>
  <c r="P30" i="38"/>
  <c r="O143" i="37"/>
  <c r="N144" i="61"/>
  <c r="M144" i="61"/>
  <c r="L144" i="61"/>
  <c r="K144" i="61"/>
  <c r="K143" i="37"/>
  <c r="J144" i="61"/>
  <c r="J143" i="37"/>
  <c r="I144" i="61"/>
  <c r="O144" i="61"/>
  <c r="I143" i="37"/>
  <c r="P143" i="37"/>
  <c r="H144" i="61"/>
  <c r="H142" i="37"/>
  <c r="O142" i="37"/>
  <c r="N143" i="61"/>
  <c r="M143" i="61"/>
  <c r="L143" i="61"/>
  <c r="K143" i="61"/>
  <c r="K142" i="37"/>
  <c r="J143" i="61"/>
  <c r="J142" i="37"/>
  <c r="I143" i="61"/>
  <c r="I142" i="37"/>
  <c r="P142" i="37"/>
  <c r="H143" i="61"/>
  <c r="H141" i="37"/>
  <c r="O141" i="37"/>
  <c r="N142" i="61"/>
  <c r="N141" i="37"/>
  <c r="M142" i="61"/>
  <c r="M141" i="37"/>
  <c r="L142" i="61"/>
  <c r="L141" i="37"/>
  <c r="K142" i="61"/>
  <c r="K141" i="37"/>
  <c r="J142" i="61"/>
  <c r="J141" i="37"/>
  <c r="I142" i="61"/>
  <c r="I141" i="37"/>
  <c r="P141" i="37"/>
  <c r="H142" i="61"/>
  <c r="O142" i="61"/>
  <c r="H140" i="37"/>
  <c r="P25" i="38"/>
  <c r="O140" i="37"/>
  <c r="N141" i="61"/>
  <c r="M141" i="61"/>
  <c r="L141" i="61"/>
  <c r="K141" i="61"/>
  <c r="K140" i="37"/>
  <c r="J141" i="61"/>
  <c r="J140" i="37"/>
  <c r="I141" i="61"/>
  <c r="I140" i="37"/>
  <c r="P140" i="37"/>
  <c r="H141" i="61"/>
  <c r="H139" i="37"/>
  <c r="P34" i="38"/>
  <c r="O139" i="37"/>
  <c r="N140" i="61"/>
  <c r="M140" i="61"/>
  <c r="L140" i="61"/>
  <c r="K140" i="61"/>
  <c r="K139" i="37"/>
  <c r="J140" i="61"/>
  <c r="J139" i="37"/>
  <c r="I140" i="61"/>
  <c r="O140" i="61"/>
  <c r="I139" i="37"/>
  <c r="P139" i="37"/>
  <c r="H140" i="61"/>
  <c r="H138" i="37"/>
  <c r="P29" i="38"/>
  <c r="O138" i="37"/>
  <c r="N139" i="61"/>
  <c r="N138" i="61"/>
  <c r="M139" i="61"/>
  <c r="L139" i="61"/>
  <c r="K139" i="61"/>
  <c r="K138" i="37"/>
  <c r="J139" i="61"/>
  <c r="J138" i="37"/>
  <c r="I139" i="61"/>
  <c r="O139" i="61"/>
  <c r="I138" i="37"/>
  <c r="P138" i="37"/>
  <c r="H139" i="61"/>
  <c r="H136" i="37"/>
  <c r="O136" i="37"/>
  <c r="N137" i="61"/>
  <c r="M137" i="61"/>
  <c r="L137" i="61"/>
  <c r="K137" i="61"/>
  <c r="K136" i="37"/>
  <c r="J137" i="61"/>
  <c r="J136" i="37"/>
  <c r="I137" i="61"/>
  <c r="I136" i="37"/>
  <c r="P136" i="37"/>
  <c r="H137" i="61"/>
  <c r="H135" i="37"/>
  <c r="O135" i="37"/>
  <c r="N136" i="61"/>
  <c r="M136" i="61"/>
  <c r="L136" i="61"/>
  <c r="K136" i="61"/>
  <c r="K135" i="37"/>
  <c r="J136" i="61"/>
  <c r="J135" i="37"/>
  <c r="I136" i="61"/>
  <c r="I135" i="37"/>
  <c r="P135" i="37"/>
  <c r="H136" i="61"/>
  <c r="O136" i="61"/>
  <c r="H134" i="37"/>
  <c r="O134" i="37"/>
  <c r="N135" i="61"/>
  <c r="N134" i="37"/>
  <c r="M135" i="61"/>
  <c r="M134" i="37"/>
  <c r="L135" i="61"/>
  <c r="L134" i="37"/>
  <c r="K135" i="61"/>
  <c r="K134" i="37"/>
  <c r="J135" i="61"/>
  <c r="J134" i="37"/>
  <c r="I135" i="61"/>
  <c r="I134" i="37"/>
  <c r="P134" i="37"/>
  <c r="H135" i="61"/>
  <c r="H133" i="37"/>
  <c r="O133" i="37"/>
  <c r="N134" i="61"/>
  <c r="M134" i="61"/>
  <c r="L134" i="61"/>
  <c r="K134" i="61"/>
  <c r="K133" i="37"/>
  <c r="J134" i="61"/>
  <c r="J133" i="37"/>
  <c r="I134" i="61"/>
  <c r="I133" i="37"/>
  <c r="P133" i="37"/>
  <c r="H134" i="61"/>
  <c r="H132" i="37"/>
  <c r="O132" i="37"/>
  <c r="N133" i="61"/>
  <c r="M133" i="61"/>
  <c r="L133" i="61"/>
  <c r="K133" i="61"/>
  <c r="K132" i="37"/>
  <c r="J133" i="61"/>
  <c r="J132" i="37"/>
  <c r="I133" i="61"/>
  <c r="I132" i="37"/>
  <c r="P132" i="37"/>
  <c r="H133" i="61"/>
  <c r="H27" i="38"/>
  <c r="H128" i="37"/>
  <c r="P27" i="38"/>
  <c r="O128" i="37"/>
  <c r="N129" i="61"/>
  <c r="N128" i="37"/>
  <c r="M129" i="61"/>
  <c r="M128" i="37"/>
  <c r="L129" i="61"/>
  <c r="L128" i="37"/>
  <c r="K129" i="61"/>
  <c r="K128" i="37"/>
  <c r="J129" i="61"/>
  <c r="J128" i="37"/>
  <c r="I129" i="61"/>
  <c r="I128" i="37"/>
  <c r="P128" i="37"/>
  <c r="H129" i="61"/>
  <c r="H127" i="37"/>
  <c r="O127" i="37"/>
  <c r="N128" i="61"/>
  <c r="M128" i="61"/>
  <c r="L128" i="61"/>
  <c r="K128" i="61"/>
  <c r="K127" i="37"/>
  <c r="J128" i="61"/>
  <c r="J127" i="37"/>
  <c r="I128" i="61"/>
  <c r="I127" i="37"/>
  <c r="P127" i="37"/>
  <c r="H128" i="61"/>
  <c r="O128" i="61"/>
  <c r="H126" i="37"/>
  <c r="O126" i="37"/>
  <c r="N127" i="61"/>
  <c r="M127" i="61"/>
  <c r="L127" i="61"/>
  <c r="K127" i="61"/>
  <c r="K126" i="37"/>
  <c r="J127" i="61"/>
  <c r="I126" i="37"/>
  <c r="P126" i="37"/>
  <c r="H127" i="61"/>
  <c r="J126" i="37"/>
  <c r="I127" i="61"/>
  <c r="O127" i="61"/>
  <c r="O120" i="37"/>
  <c r="N121" i="61"/>
  <c r="N120" i="37"/>
  <c r="M121" i="61"/>
  <c r="M120" i="61"/>
  <c r="M119" i="61"/>
  <c r="M120" i="37"/>
  <c r="L121" i="61"/>
  <c r="L120" i="37"/>
  <c r="K121" i="61"/>
  <c r="I119" i="61"/>
  <c r="O119" i="37"/>
  <c r="N120" i="61"/>
  <c r="L120" i="61"/>
  <c r="K120" i="61"/>
  <c r="J119" i="61"/>
  <c r="H116" i="37"/>
  <c r="O116" i="37"/>
  <c r="N117" i="61"/>
  <c r="N116" i="61"/>
  <c r="M117" i="61"/>
  <c r="L117" i="61"/>
  <c r="K117" i="61"/>
  <c r="J117" i="61"/>
  <c r="J116" i="61"/>
  <c r="I117" i="61"/>
  <c r="I116" i="37"/>
  <c r="P116" i="37"/>
  <c r="H117" i="61"/>
  <c r="O117" i="61"/>
  <c r="O116" i="61"/>
  <c r="H114" i="37"/>
  <c r="O114" i="37"/>
  <c r="N115" i="61"/>
  <c r="N114" i="61"/>
  <c r="N114" i="37"/>
  <c r="M115" i="61"/>
  <c r="M114" i="61"/>
  <c r="M114" i="37"/>
  <c r="L115" i="61"/>
  <c r="L114" i="61"/>
  <c r="L114" i="37"/>
  <c r="K115" i="61"/>
  <c r="K114" i="37"/>
  <c r="J115" i="61"/>
  <c r="J114" i="61"/>
  <c r="J114" i="37"/>
  <c r="I115" i="61"/>
  <c r="I114" i="61"/>
  <c r="I114" i="37"/>
  <c r="P114" i="37"/>
  <c r="H115" i="61"/>
  <c r="H112" i="37"/>
  <c r="P32" i="38"/>
  <c r="O112" i="37"/>
  <c r="N113" i="61"/>
  <c r="N112" i="37"/>
  <c r="M113" i="61"/>
  <c r="M112" i="37"/>
  <c r="L113" i="61"/>
  <c r="L112" i="37"/>
  <c r="K113" i="61"/>
  <c r="K112" i="37"/>
  <c r="J113" i="61"/>
  <c r="J112" i="37"/>
  <c r="I113" i="61"/>
  <c r="I112" i="37"/>
  <c r="P112" i="37"/>
  <c r="H113" i="61"/>
  <c r="H33" i="38"/>
  <c r="H111" i="37"/>
  <c r="P33" i="38"/>
  <c r="O111" i="37"/>
  <c r="N112" i="61"/>
  <c r="N111" i="37"/>
  <c r="M112" i="61"/>
  <c r="M111" i="37"/>
  <c r="L112" i="61"/>
  <c r="L111" i="37"/>
  <c r="K112" i="61"/>
  <c r="K111" i="37"/>
  <c r="J112" i="61"/>
  <c r="J111" i="37"/>
  <c r="I112" i="61"/>
  <c r="O112" i="61"/>
  <c r="J33" i="38"/>
  <c r="I111" i="37"/>
  <c r="P111" i="37"/>
  <c r="H112" i="61"/>
  <c r="H110" i="37"/>
  <c r="O110" i="37"/>
  <c r="N111" i="61"/>
  <c r="M111" i="61"/>
  <c r="L111" i="61"/>
  <c r="K111" i="61"/>
  <c r="J111" i="61"/>
  <c r="I111" i="61"/>
  <c r="I110" i="37"/>
  <c r="P110" i="37"/>
  <c r="H111" i="61"/>
  <c r="H109" i="37"/>
  <c r="O109" i="37"/>
  <c r="N110" i="61"/>
  <c r="M110" i="61"/>
  <c r="L110" i="61"/>
  <c r="K110" i="61"/>
  <c r="J110" i="61"/>
  <c r="I110" i="61"/>
  <c r="I109" i="37"/>
  <c r="P109" i="37"/>
  <c r="H110" i="61"/>
  <c r="H108" i="37"/>
  <c r="O108" i="37"/>
  <c r="N109" i="61"/>
  <c r="M109" i="61"/>
  <c r="L109" i="61"/>
  <c r="K109" i="61"/>
  <c r="K108" i="61"/>
  <c r="K114" i="61"/>
  <c r="K107" i="61"/>
  <c r="J109" i="61"/>
  <c r="I109" i="61"/>
  <c r="I108" i="37"/>
  <c r="P108" i="37"/>
  <c r="H109" i="61"/>
  <c r="O103" i="37"/>
  <c r="N104" i="61"/>
  <c r="N103" i="61"/>
  <c r="M104" i="61"/>
  <c r="M103" i="61"/>
  <c r="L104" i="61"/>
  <c r="K104" i="61"/>
  <c r="K103" i="61"/>
  <c r="I103" i="61"/>
  <c r="O99" i="37"/>
  <c r="N100" i="61"/>
  <c r="M100" i="61"/>
  <c r="L100" i="61"/>
  <c r="K100" i="61"/>
  <c r="K99" i="37"/>
  <c r="J100" i="61"/>
  <c r="O98" i="37"/>
  <c r="N99" i="61"/>
  <c r="M99" i="61"/>
  <c r="L99" i="61"/>
  <c r="K99" i="61"/>
  <c r="K98" i="37"/>
  <c r="J99" i="61"/>
  <c r="O99" i="61"/>
  <c r="O97" i="37"/>
  <c r="N98" i="61"/>
  <c r="M98" i="61"/>
  <c r="L98" i="61"/>
  <c r="K98" i="61"/>
  <c r="K97" i="37"/>
  <c r="J98" i="61"/>
  <c r="O96" i="37"/>
  <c r="N97" i="61"/>
  <c r="M97" i="61"/>
  <c r="L97" i="61"/>
  <c r="K97" i="61"/>
  <c r="K96" i="37"/>
  <c r="J97" i="61"/>
  <c r="O95" i="37"/>
  <c r="N96" i="61"/>
  <c r="N95" i="37"/>
  <c r="M96" i="61"/>
  <c r="M95" i="37"/>
  <c r="L96" i="61"/>
  <c r="L95" i="37"/>
  <c r="K96" i="61"/>
  <c r="K95" i="37"/>
  <c r="J96" i="61"/>
  <c r="O94" i="37"/>
  <c r="N95" i="61"/>
  <c r="M95" i="61"/>
  <c r="L95" i="61"/>
  <c r="K95" i="61"/>
  <c r="K94" i="37"/>
  <c r="J95" i="61"/>
  <c r="O95" i="61"/>
  <c r="H92" i="37"/>
  <c r="O92" i="37"/>
  <c r="N93" i="61"/>
  <c r="M93" i="61"/>
  <c r="L93" i="61"/>
  <c r="K93" i="61"/>
  <c r="H90" i="37"/>
  <c r="K91" i="61"/>
  <c r="H91" i="37"/>
  <c r="K92" i="61"/>
  <c r="K90" i="61"/>
  <c r="K92" i="37"/>
  <c r="J93" i="61"/>
  <c r="J92" i="37"/>
  <c r="I93" i="61"/>
  <c r="I92" i="37"/>
  <c r="P92" i="37"/>
  <c r="H93" i="61"/>
  <c r="O91" i="37"/>
  <c r="N92" i="61"/>
  <c r="M92" i="61"/>
  <c r="L92" i="61"/>
  <c r="K91" i="37"/>
  <c r="J92" i="61"/>
  <c r="J91" i="37"/>
  <c r="I92" i="61"/>
  <c r="I91" i="37"/>
  <c r="P91" i="37"/>
  <c r="H92" i="61"/>
  <c r="O90" i="37"/>
  <c r="N91" i="61"/>
  <c r="M91" i="61"/>
  <c r="L91" i="61"/>
  <c r="K90" i="37"/>
  <c r="J91" i="61"/>
  <c r="J90" i="37"/>
  <c r="I91" i="61"/>
  <c r="I90" i="37"/>
  <c r="P90" i="37"/>
  <c r="H91" i="61"/>
  <c r="H88" i="37"/>
  <c r="O88" i="37"/>
  <c r="N89" i="61"/>
  <c r="M89" i="61"/>
  <c r="L89" i="61"/>
  <c r="K89" i="61"/>
  <c r="K88" i="37"/>
  <c r="J89" i="61"/>
  <c r="J88" i="37"/>
  <c r="I89" i="61"/>
  <c r="I88" i="37"/>
  <c r="P88" i="37"/>
  <c r="H89" i="61"/>
  <c r="H87" i="37"/>
  <c r="O87" i="37"/>
  <c r="N88" i="61"/>
  <c r="M88" i="61"/>
  <c r="L88" i="61"/>
  <c r="K88" i="61"/>
  <c r="K87" i="37"/>
  <c r="J88" i="61"/>
  <c r="J87" i="37"/>
  <c r="I88" i="61"/>
  <c r="I87" i="37"/>
  <c r="P87" i="37"/>
  <c r="H88" i="61"/>
  <c r="H86" i="37"/>
  <c r="O86" i="37"/>
  <c r="N87" i="61"/>
  <c r="M87" i="61"/>
  <c r="M86" i="61"/>
  <c r="L87" i="61"/>
  <c r="K87" i="61"/>
  <c r="K86" i="37"/>
  <c r="J87" i="61"/>
  <c r="J86" i="37"/>
  <c r="I87" i="61"/>
  <c r="I86" i="61"/>
  <c r="I86" i="37"/>
  <c r="P86" i="37"/>
  <c r="H87" i="61"/>
  <c r="H84" i="37"/>
  <c r="O84" i="37"/>
  <c r="N85" i="61"/>
  <c r="M85" i="61"/>
  <c r="L85" i="61"/>
  <c r="K85" i="61"/>
  <c r="K84" i="37"/>
  <c r="J85" i="61"/>
  <c r="J84" i="37"/>
  <c r="I85" i="61"/>
  <c r="O85" i="61"/>
  <c r="I84" i="37"/>
  <c r="P84" i="37"/>
  <c r="H85" i="61"/>
  <c r="H83" i="37"/>
  <c r="O83" i="37"/>
  <c r="N84" i="61"/>
  <c r="M84" i="61"/>
  <c r="L84" i="61"/>
  <c r="K84" i="61"/>
  <c r="K83" i="37"/>
  <c r="J84" i="61"/>
  <c r="J83" i="37"/>
  <c r="I84" i="61"/>
  <c r="O84" i="61"/>
  <c r="I83" i="37"/>
  <c r="P83" i="37"/>
  <c r="H84" i="61"/>
  <c r="N83" i="61"/>
  <c r="M83" i="61"/>
  <c r="L83" i="61"/>
  <c r="K83" i="61"/>
  <c r="J83" i="61"/>
  <c r="I83" i="61"/>
  <c r="H83" i="61"/>
  <c r="H81" i="37"/>
  <c r="O81" i="37"/>
  <c r="N82" i="61"/>
  <c r="M82" i="61"/>
  <c r="L82" i="61"/>
  <c r="K82" i="61"/>
  <c r="K81" i="37"/>
  <c r="J82" i="61"/>
  <c r="J81" i="37"/>
  <c r="I82" i="61"/>
  <c r="I81" i="37"/>
  <c r="P81" i="37"/>
  <c r="H82" i="61"/>
  <c r="O82" i="61"/>
  <c r="H80" i="37"/>
  <c r="O80" i="37"/>
  <c r="N81" i="61"/>
  <c r="M81" i="61"/>
  <c r="L81" i="61"/>
  <c r="K81" i="61"/>
  <c r="K80" i="37"/>
  <c r="J81" i="61"/>
  <c r="J80" i="37"/>
  <c r="I81" i="61"/>
  <c r="I80" i="37"/>
  <c r="P80" i="37"/>
  <c r="H81" i="61"/>
  <c r="H78" i="37"/>
  <c r="O78" i="37"/>
  <c r="N79" i="61"/>
  <c r="M79" i="61"/>
  <c r="H77" i="37"/>
  <c r="M78" i="61"/>
  <c r="M77" i="61"/>
  <c r="L79" i="61"/>
  <c r="K79" i="61"/>
  <c r="K78" i="37"/>
  <c r="J79" i="61"/>
  <c r="J78" i="37"/>
  <c r="I79" i="61"/>
  <c r="J77" i="37"/>
  <c r="I78" i="61"/>
  <c r="I77" i="61"/>
  <c r="I78" i="37"/>
  <c r="P78" i="37"/>
  <c r="H79" i="61"/>
  <c r="O79" i="61"/>
  <c r="O77" i="37"/>
  <c r="N78" i="61"/>
  <c r="L78" i="61"/>
  <c r="K78" i="61"/>
  <c r="K77" i="37"/>
  <c r="J78" i="61"/>
  <c r="J77" i="61"/>
  <c r="I77" i="37"/>
  <c r="P77" i="37"/>
  <c r="H78" i="61"/>
  <c r="H8" i="38"/>
  <c r="H75" i="37"/>
  <c r="P6" i="38"/>
  <c r="P7" i="38"/>
  <c r="P8" i="38"/>
  <c r="O75" i="37"/>
  <c r="N76" i="61"/>
  <c r="M76" i="61"/>
  <c r="L76" i="61"/>
  <c r="K76" i="61"/>
  <c r="L8" i="38"/>
  <c r="K75" i="37"/>
  <c r="J76" i="61"/>
  <c r="J75" i="37"/>
  <c r="I76" i="61"/>
  <c r="J8" i="38"/>
  <c r="I75" i="37"/>
  <c r="P75" i="37"/>
  <c r="H76" i="61"/>
  <c r="H74" i="37"/>
  <c r="O74" i="37"/>
  <c r="N75" i="61"/>
  <c r="M75" i="61"/>
  <c r="L75" i="61"/>
  <c r="K75" i="61"/>
  <c r="K74" i="37"/>
  <c r="J75" i="61"/>
  <c r="J74" i="37"/>
  <c r="I75" i="61"/>
  <c r="O75" i="61"/>
  <c r="I74" i="37"/>
  <c r="P74" i="37"/>
  <c r="H75" i="61"/>
  <c r="H73" i="37"/>
  <c r="P11" i="38"/>
  <c r="O73" i="37"/>
  <c r="N74" i="61"/>
  <c r="N73" i="37"/>
  <c r="M74" i="61"/>
  <c r="M73" i="37"/>
  <c r="L74" i="61"/>
  <c r="L73" i="37"/>
  <c r="K74" i="61"/>
  <c r="L9" i="38"/>
  <c r="L10" i="38"/>
  <c r="L11" i="38"/>
  <c r="K73" i="37"/>
  <c r="J74" i="61"/>
  <c r="J73" i="37"/>
  <c r="I74" i="61"/>
  <c r="I73" i="37"/>
  <c r="P73" i="37"/>
  <c r="H74" i="61"/>
  <c r="H72" i="37"/>
  <c r="O72" i="37"/>
  <c r="N73" i="61"/>
  <c r="M73" i="61"/>
  <c r="L73" i="61"/>
  <c r="K73" i="61"/>
  <c r="K72" i="37"/>
  <c r="J73" i="61"/>
  <c r="H71" i="37"/>
  <c r="K71" i="37"/>
  <c r="J72" i="61"/>
  <c r="J71" i="61"/>
  <c r="J72" i="37"/>
  <c r="I73" i="61"/>
  <c r="I72" i="37"/>
  <c r="P72" i="37"/>
  <c r="H73" i="61"/>
  <c r="O71" i="37"/>
  <c r="N72" i="61"/>
  <c r="M72" i="61"/>
  <c r="L72" i="61"/>
  <c r="K72" i="61"/>
  <c r="J71" i="37"/>
  <c r="I72" i="61"/>
  <c r="I71" i="37"/>
  <c r="P71" i="37"/>
  <c r="H72" i="61"/>
  <c r="H68" i="37"/>
  <c r="O68" i="37"/>
  <c r="N69" i="61"/>
  <c r="M69" i="61"/>
  <c r="L69" i="61"/>
  <c r="K69" i="61"/>
  <c r="K68" i="37"/>
  <c r="J69" i="61"/>
  <c r="J68" i="37"/>
  <c r="I69" i="61"/>
  <c r="O69" i="61"/>
  <c r="I68" i="37"/>
  <c r="P68" i="37"/>
  <c r="H69" i="61"/>
  <c r="H67" i="37"/>
  <c r="O67" i="37"/>
  <c r="N68" i="61"/>
  <c r="M68" i="61"/>
  <c r="L68" i="61"/>
  <c r="K68" i="61"/>
  <c r="K67" i="37"/>
  <c r="J68" i="61"/>
  <c r="J67" i="37"/>
  <c r="I68" i="61"/>
  <c r="O68" i="61"/>
  <c r="I67" i="37"/>
  <c r="P67" i="37"/>
  <c r="H68" i="61"/>
  <c r="H66" i="37"/>
  <c r="P31" i="38"/>
  <c r="O66" i="37"/>
  <c r="N67" i="61"/>
  <c r="M67" i="61"/>
  <c r="L67" i="61"/>
  <c r="K67" i="61"/>
  <c r="K66" i="37"/>
  <c r="J67" i="61"/>
  <c r="J66" i="37"/>
  <c r="I67" i="61"/>
  <c r="O67" i="61"/>
  <c r="I66" i="37"/>
  <c r="P66" i="37"/>
  <c r="H67" i="61"/>
  <c r="H65" i="37"/>
  <c r="O65" i="37"/>
  <c r="N66" i="61"/>
  <c r="M66" i="61"/>
  <c r="L66" i="61"/>
  <c r="K66" i="61"/>
  <c r="K65" i="37"/>
  <c r="J66" i="61"/>
  <c r="J65" i="37"/>
  <c r="I66" i="61"/>
  <c r="I65" i="37"/>
  <c r="P65" i="37"/>
  <c r="H66" i="61"/>
  <c r="O66" i="61"/>
  <c r="H64" i="37"/>
  <c r="O64" i="37"/>
  <c r="N65" i="61"/>
  <c r="M65" i="61"/>
  <c r="L65" i="61"/>
  <c r="K65" i="61"/>
  <c r="K64" i="37"/>
  <c r="J65" i="61"/>
  <c r="J64" i="37"/>
  <c r="I65" i="61"/>
  <c r="I64" i="37"/>
  <c r="P64" i="37"/>
  <c r="H65" i="61"/>
  <c r="H63" i="37"/>
  <c r="O63" i="37"/>
  <c r="N64" i="61"/>
  <c r="M64" i="61"/>
  <c r="L64" i="61"/>
  <c r="K64" i="61"/>
  <c r="K63" i="37"/>
  <c r="J64" i="61"/>
  <c r="J63" i="37"/>
  <c r="I64" i="61"/>
  <c r="I63" i="37"/>
  <c r="P63" i="37"/>
  <c r="H64" i="61"/>
  <c r="H61" i="37"/>
  <c r="O61" i="37"/>
  <c r="N62" i="61"/>
  <c r="M62" i="61"/>
  <c r="L62" i="61"/>
  <c r="K62" i="61"/>
  <c r="K61" i="37"/>
  <c r="J62" i="61"/>
  <c r="J61" i="37"/>
  <c r="I62" i="61"/>
  <c r="O62" i="61"/>
  <c r="I61" i="37"/>
  <c r="P61" i="37"/>
  <c r="H62" i="61"/>
  <c r="H60" i="37"/>
  <c r="O60" i="37"/>
  <c r="N61" i="61"/>
  <c r="M61" i="61"/>
  <c r="L61" i="61"/>
  <c r="K61" i="61"/>
  <c r="K60" i="37"/>
  <c r="J61" i="61"/>
  <c r="J60" i="37"/>
  <c r="I61" i="61"/>
  <c r="O61" i="61"/>
  <c r="I60" i="37"/>
  <c r="P60" i="37"/>
  <c r="H61" i="61"/>
  <c r="H59" i="37"/>
  <c r="O59" i="37"/>
  <c r="N60" i="61"/>
  <c r="M60" i="61"/>
  <c r="L60" i="61"/>
  <c r="K60" i="61"/>
  <c r="K59" i="37"/>
  <c r="J60" i="61"/>
  <c r="J59" i="37"/>
  <c r="I60" i="61"/>
  <c r="I59" i="37"/>
  <c r="P59" i="37"/>
  <c r="H60" i="61"/>
  <c r="H58" i="37"/>
  <c r="O58" i="37"/>
  <c r="N59" i="61"/>
  <c r="M59" i="61"/>
  <c r="L59" i="61"/>
  <c r="K59" i="61"/>
  <c r="H56" i="37"/>
  <c r="K57" i="61"/>
  <c r="H57" i="37"/>
  <c r="K58" i="61"/>
  <c r="K56" i="61"/>
  <c r="K58" i="37"/>
  <c r="J59" i="61"/>
  <c r="J58" i="37"/>
  <c r="I59" i="61"/>
  <c r="I58" i="37"/>
  <c r="P58" i="37"/>
  <c r="H59" i="61"/>
  <c r="O59" i="61"/>
  <c r="O57" i="37"/>
  <c r="N58" i="61"/>
  <c r="M58" i="61"/>
  <c r="L58" i="61"/>
  <c r="K57" i="37"/>
  <c r="J58" i="61"/>
  <c r="J57" i="37"/>
  <c r="I58" i="61"/>
  <c r="I57" i="37"/>
  <c r="P57" i="37"/>
  <c r="H58" i="61"/>
  <c r="O56" i="37"/>
  <c r="N57" i="61"/>
  <c r="M57" i="61"/>
  <c r="L57" i="61"/>
  <c r="K56" i="37"/>
  <c r="J57" i="61"/>
  <c r="J56" i="37"/>
  <c r="I57" i="61"/>
  <c r="I56" i="37"/>
  <c r="P56" i="37"/>
  <c r="H57" i="61"/>
  <c r="O57" i="61"/>
  <c r="H54" i="37"/>
  <c r="O54" i="37"/>
  <c r="N55" i="61"/>
  <c r="M55" i="61"/>
  <c r="L55" i="61"/>
  <c r="K55" i="61"/>
  <c r="K54" i="37"/>
  <c r="J55" i="61"/>
  <c r="J54" i="37"/>
  <c r="I55" i="61"/>
  <c r="O55" i="61"/>
  <c r="I54" i="37"/>
  <c r="P54" i="37"/>
  <c r="H55" i="61"/>
  <c r="H53" i="37"/>
  <c r="O53" i="37"/>
  <c r="N54" i="61"/>
  <c r="N53" i="37"/>
  <c r="M54" i="61"/>
  <c r="M53" i="37"/>
  <c r="L54" i="61"/>
  <c r="L53" i="37"/>
  <c r="K54" i="61"/>
  <c r="K53" i="37"/>
  <c r="J54" i="61"/>
  <c r="J53" i="37"/>
  <c r="I54" i="61"/>
  <c r="I53" i="37"/>
  <c r="P53" i="37"/>
  <c r="H54" i="61"/>
  <c r="H52" i="37"/>
  <c r="O52" i="37"/>
  <c r="N53" i="61"/>
  <c r="M53" i="61"/>
  <c r="L53" i="61"/>
  <c r="K53" i="61"/>
  <c r="K52" i="37"/>
  <c r="J53" i="61"/>
  <c r="J52" i="37"/>
  <c r="I53" i="61"/>
  <c r="O53" i="61"/>
  <c r="I52" i="37"/>
  <c r="P52" i="37"/>
  <c r="H53" i="61"/>
  <c r="H51" i="37"/>
  <c r="O51" i="37"/>
  <c r="N52" i="61"/>
  <c r="M52" i="61"/>
  <c r="L52" i="61"/>
  <c r="K52" i="61"/>
  <c r="K51" i="37"/>
  <c r="J52" i="61"/>
  <c r="J51" i="37"/>
  <c r="I52" i="61"/>
  <c r="I51" i="37"/>
  <c r="P51" i="37"/>
  <c r="H52" i="61"/>
  <c r="H50" i="37"/>
  <c r="O50" i="37"/>
  <c r="N51" i="61"/>
  <c r="N50" i="37"/>
  <c r="M51" i="61"/>
  <c r="M50" i="37"/>
  <c r="L51" i="61"/>
  <c r="L50" i="37"/>
  <c r="K51" i="61"/>
  <c r="K50" i="37"/>
  <c r="J51" i="61"/>
  <c r="J50" i="37"/>
  <c r="I51" i="61"/>
  <c r="I50" i="37"/>
  <c r="P50" i="37"/>
  <c r="H51" i="61"/>
  <c r="H49" i="37"/>
  <c r="O49" i="37"/>
  <c r="N50" i="61"/>
  <c r="M50" i="61"/>
  <c r="L50" i="61"/>
  <c r="K50" i="61"/>
  <c r="K49" i="37"/>
  <c r="J50" i="61"/>
  <c r="J49" i="37"/>
  <c r="I50" i="61"/>
  <c r="I49" i="37"/>
  <c r="P49" i="37"/>
  <c r="H50" i="61"/>
  <c r="H48" i="37"/>
  <c r="O48" i="37"/>
  <c r="N49" i="61"/>
  <c r="N48" i="37"/>
  <c r="M49" i="61"/>
  <c r="M48" i="37"/>
  <c r="L49" i="61"/>
  <c r="L48" i="37"/>
  <c r="K49" i="61"/>
  <c r="K48" i="37"/>
  <c r="J49" i="61"/>
  <c r="J48" i="37"/>
  <c r="I49" i="61"/>
  <c r="I48" i="37"/>
  <c r="P48" i="37"/>
  <c r="H49" i="61"/>
  <c r="H47" i="37"/>
  <c r="O47" i="37"/>
  <c r="N48" i="61"/>
  <c r="M48" i="61"/>
  <c r="L48" i="61"/>
  <c r="K48" i="61"/>
  <c r="K47" i="37"/>
  <c r="J48" i="61"/>
  <c r="J47" i="37"/>
  <c r="I48" i="61"/>
  <c r="I47" i="37"/>
  <c r="P47" i="37"/>
  <c r="H48" i="61"/>
  <c r="H45" i="37"/>
  <c r="O45" i="37"/>
  <c r="N46" i="61"/>
  <c r="M46" i="61"/>
  <c r="L46" i="61"/>
  <c r="K46" i="61"/>
  <c r="K45" i="37"/>
  <c r="J46" i="61"/>
  <c r="J45" i="37"/>
  <c r="I46" i="61"/>
  <c r="I45" i="37"/>
  <c r="P45" i="37"/>
  <c r="H46" i="61"/>
  <c r="H43" i="37"/>
  <c r="P9" i="38"/>
  <c r="O43" i="37"/>
  <c r="N44" i="61"/>
  <c r="N43" i="37"/>
  <c r="M44" i="61"/>
  <c r="M43" i="37"/>
  <c r="L44" i="61"/>
  <c r="L43" i="37"/>
  <c r="K44" i="61"/>
  <c r="K43" i="37"/>
  <c r="J44" i="61"/>
  <c r="J43" i="37"/>
  <c r="I44" i="61"/>
  <c r="I43" i="37"/>
  <c r="P43" i="37"/>
  <c r="H44" i="61"/>
  <c r="O44" i="61"/>
  <c r="H42" i="37"/>
  <c r="O42" i="37"/>
  <c r="N43" i="61"/>
  <c r="M43" i="61"/>
  <c r="L43" i="61"/>
  <c r="K43" i="61"/>
  <c r="K42" i="37"/>
  <c r="J43" i="61"/>
  <c r="I42" i="37"/>
  <c r="P42" i="37"/>
  <c r="H43" i="61"/>
  <c r="J42" i="37"/>
  <c r="I43" i="61"/>
  <c r="O43" i="61"/>
  <c r="H41" i="37"/>
  <c r="O41" i="37"/>
  <c r="N42" i="61"/>
  <c r="M42" i="61"/>
  <c r="L42" i="61"/>
  <c r="K42" i="61"/>
  <c r="K41" i="37"/>
  <c r="J42" i="61"/>
  <c r="J41" i="37"/>
  <c r="I42" i="61"/>
  <c r="I41" i="37"/>
  <c r="P41" i="37"/>
  <c r="H42" i="61"/>
  <c r="O42" i="61"/>
  <c r="H40" i="37"/>
  <c r="O40" i="37"/>
  <c r="N41" i="61"/>
  <c r="M41" i="61"/>
  <c r="L41" i="61"/>
  <c r="K41" i="61"/>
  <c r="K40" i="37"/>
  <c r="J41" i="61"/>
  <c r="J40" i="37"/>
  <c r="I41" i="61"/>
  <c r="I40" i="37"/>
  <c r="P40" i="37"/>
  <c r="H41" i="61"/>
  <c r="H26" i="38"/>
  <c r="H39" i="37"/>
  <c r="P26" i="38"/>
  <c r="O39" i="37"/>
  <c r="N40" i="61"/>
  <c r="N39" i="37"/>
  <c r="M40" i="61"/>
  <c r="M39" i="37"/>
  <c r="L40" i="61"/>
  <c r="L39" i="37"/>
  <c r="K40" i="61"/>
  <c r="K39" i="37"/>
  <c r="J40" i="61"/>
  <c r="J39" i="37"/>
  <c r="I40" i="61"/>
  <c r="I39" i="37"/>
  <c r="P39" i="37"/>
  <c r="H40" i="61"/>
  <c r="H28" i="38"/>
  <c r="H38" i="37"/>
  <c r="P28" i="38"/>
  <c r="O38" i="37"/>
  <c r="N39" i="61"/>
  <c r="N38" i="37"/>
  <c r="M39" i="61"/>
  <c r="M38" i="37"/>
  <c r="L39" i="61"/>
  <c r="L38" i="37"/>
  <c r="K39" i="61"/>
  <c r="K38" i="37"/>
  <c r="J39" i="61"/>
  <c r="J38" i="37"/>
  <c r="I39" i="61"/>
  <c r="I38" i="37"/>
  <c r="P38" i="37"/>
  <c r="H39" i="61"/>
  <c r="H37" i="37"/>
  <c r="O37" i="37"/>
  <c r="N38" i="61"/>
  <c r="M38" i="61"/>
  <c r="L38" i="61"/>
  <c r="K38" i="61"/>
  <c r="K37" i="37"/>
  <c r="J38" i="61"/>
  <c r="J37" i="37"/>
  <c r="I38" i="61"/>
  <c r="I37" i="37"/>
  <c r="P37" i="37"/>
  <c r="H38" i="61"/>
  <c r="O38" i="61"/>
  <c r="N35" i="61"/>
  <c r="M35" i="61"/>
  <c r="L35" i="61"/>
  <c r="K35" i="61"/>
  <c r="J35" i="61"/>
  <c r="I35" i="61"/>
  <c r="H35" i="61"/>
  <c r="O35" i="61"/>
  <c r="H33" i="37"/>
  <c r="O33" i="37"/>
  <c r="N34" i="61"/>
  <c r="M34" i="61"/>
  <c r="L34" i="61"/>
  <c r="K34" i="61"/>
  <c r="K33" i="37"/>
  <c r="J34" i="61"/>
  <c r="J33" i="37"/>
  <c r="I34" i="61"/>
  <c r="I33" i="37"/>
  <c r="P33" i="37"/>
  <c r="H34" i="61"/>
  <c r="H32" i="37"/>
  <c r="O32" i="37"/>
  <c r="N33" i="61"/>
  <c r="N32" i="61"/>
  <c r="M33" i="61"/>
  <c r="L33" i="61"/>
  <c r="K33" i="61"/>
  <c r="K32" i="37"/>
  <c r="J33" i="61"/>
  <c r="J32" i="61"/>
  <c r="J32" i="37"/>
  <c r="I33" i="61"/>
  <c r="I32" i="37"/>
  <c r="P32" i="37"/>
  <c r="H33" i="61"/>
  <c r="H30" i="37"/>
  <c r="O30" i="37"/>
  <c r="N31" i="61"/>
  <c r="M31" i="61"/>
  <c r="L31" i="61"/>
  <c r="K31" i="61"/>
  <c r="H29" i="37"/>
  <c r="K30" i="61"/>
  <c r="K29" i="61"/>
  <c r="K30" i="37"/>
  <c r="J31" i="61"/>
  <c r="J30" i="37"/>
  <c r="I31" i="61"/>
  <c r="I30" i="37"/>
  <c r="P30" i="37"/>
  <c r="H31" i="61"/>
  <c r="O29" i="37"/>
  <c r="N30" i="61"/>
  <c r="M30" i="61"/>
  <c r="L30" i="61"/>
  <c r="L29" i="61"/>
  <c r="K29" i="37"/>
  <c r="J30" i="61"/>
  <c r="J29" i="37"/>
  <c r="I30" i="61"/>
  <c r="I29" i="37"/>
  <c r="P29" i="37"/>
  <c r="H30" i="61"/>
  <c r="H29" i="61"/>
  <c r="H24" i="37"/>
  <c r="O24" i="37"/>
  <c r="N25" i="61"/>
  <c r="N24" i="37"/>
  <c r="M25" i="61"/>
  <c r="M24" i="37"/>
  <c r="L25" i="61"/>
  <c r="L24" i="37"/>
  <c r="K25" i="61"/>
  <c r="K24" i="37"/>
  <c r="J25" i="61"/>
  <c r="J24" i="37"/>
  <c r="I25" i="61"/>
  <c r="I24" i="37"/>
  <c r="P24" i="37"/>
  <c r="H25" i="61"/>
  <c r="H23" i="37"/>
  <c r="O23" i="37"/>
  <c r="N24" i="61"/>
  <c r="M24" i="61"/>
  <c r="L24" i="61"/>
  <c r="K24" i="61"/>
  <c r="K23" i="37"/>
  <c r="J24" i="61"/>
  <c r="J23" i="37"/>
  <c r="I24" i="61"/>
  <c r="I23" i="37"/>
  <c r="P23" i="37"/>
  <c r="H24" i="61"/>
  <c r="H22" i="37"/>
  <c r="O22" i="37"/>
  <c r="N23" i="61"/>
  <c r="M23" i="61"/>
  <c r="L23" i="61"/>
  <c r="K23" i="61"/>
  <c r="K22" i="37"/>
  <c r="J23" i="61"/>
  <c r="J22" i="37"/>
  <c r="I23" i="61"/>
  <c r="I22" i="37"/>
  <c r="P22" i="37"/>
  <c r="H23" i="61"/>
  <c r="H21" i="37"/>
  <c r="O21" i="37"/>
  <c r="N22" i="61"/>
  <c r="M22" i="61"/>
  <c r="L22" i="61"/>
  <c r="K22" i="61"/>
  <c r="K21" i="37"/>
  <c r="J22" i="61"/>
  <c r="J21" i="37"/>
  <c r="I22" i="61"/>
  <c r="I21" i="37"/>
  <c r="P21" i="37"/>
  <c r="H22" i="61"/>
  <c r="H20" i="37"/>
  <c r="O20" i="37"/>
  <c r="N21" i="61"/>
  <c r="M21" i="61"/>
  <c r="L21" i="61"/>
  <c r="K21" i="61"/>
  <c r="K20" i="37"/>
  <c r="J21" i="61"/>
  <c r="J20" i="37"/>
  <c r="I21" i="61"/>
  <c r="I20" i="37"/>
  <c r="P20" i="37"/>
  <c r="H21" i="61"/>
  <c r="H19" i="37"/>
  <c r="O19" i="37"/>
  <c r="N20" i="61"/>
  <c r="N19" i="37"/>
  <c r="M20" i="61"/>
  <c r="M19" i="37"/>
  <c r="L20" i="61"/>
  <c r="L19" i="37"/>
  <c r="K20" i="61"/>
  <c r="K19" i="37"/>
  <c r="J20" i="61"/>
  <c r="J19" i="37"/>
  <c r="I20" i="61"/>
  <c r="I19" i="37"/>
  <c r="P19" i="37"/>
  <c r="H20" i="61"/>
  <c r="H18" i="37"/>
  <c r="O18" i="37"/>
  <c r="N19" i="61"/>
  <c r="N18" i="37"/>
  <c r="M19" i="61"/>
  <c r="M18" i="37"/>
  <c r="L19" i="61"/>
  <c r="L18" i="37"/>
  <c r="K19" i="61"/>
  <c r="K18" i="37"/>
  <c r="J19" i="61"/>
  <c r="J18" i="37"/>
  <c r="I19" i="61"/>
  <c r="I18" i="37"/>
  <c r="P18" i="37"/>
  <c r="H19" i="61"/>
  <c r="H17" i="37"/>
  <c r="O17" i="37"/>
  <c r="N18" i="61"/>
  <c r="M18" i="61"/>
  <c r="L18" i="61"/>
  <c r="K18" i="61"/>
  <c r="K17" i="37"/>
  <c r="J18" i="61"/>
  <c r="J17" i="37"/>
  <c r="I18" i="61"/>
  <c r="I17" i="37"/>
  <c r="P17" i="37"/>
  <c r="H18" i="61"/>
  <c r="O18" i="61"/>
  <c r="H13" i="37"/>
  <c r="O13" i="37"/>
  <c r="N14" i="61"/>
  <c r="N13" i="37"/>
  <c r="M14" i="61"/>
  <c r="M13" i="37"/>
  <c r="L14" i="61"/>
  <c r="L13" i="37"/>
  <c r="K14" i="61"/>
  <c r="L33" i="38"/>
  <c r="K13" i="37"/>
  <c r="J14" i="61"/>
  <c r="K33" i="38"/>
  <c r="J13" i="37"/>
  <c r="I14" i="61"/>
  <c r="I13" i="37"/>
  <c r="P13" i="37"/>
  <c r="H14" i="61"/>
  <c r="H12" i="37"/>
  <c r="O12" i="37"/>
  <c r="N13" i="61"/>
  <c r="M13" i="61"/>
  <c r="L13" i="61"/>
  <c r="K13" i="61"/>
  <c r="K12" i="37"/>
  <c r="J13" i="61"/>
  <c r="J12" i="37"/>
  <c r="I13" i="61"/>
  <c r="I12" i="37"/>
  <c r="P12" i="37"/>
  <c r="H13" i="61"/>
  <c r="H11" i="37"/>
  <c r="O11" i="37"/>
  <c r="N12" i="61"/>
  <c r="M12" i="61"/>
  <c r="M11" i="37"/>
  <c r="L12" i="61"/>
  <c r="K12" i="61"/>
  <c r="K11" i="37"/>
  <c r="J12" i="61"/>
  <c r="J11" i="37"/>
  <c r="I12" i="61"/>
  <c r="I11" i="37"/>
  <c r="P11" i="37"/>
  <c r="H12" i="61"/>
  <c r="H10" i="37"/>
  <c r="O10" i="37"/>
  <c r="N11" i="61"/>
  <c r="M11" i="61"/>
  <c r="L11" i="61"/>
  <c r="K11" i="61"/>
  <c r="K10" i="37"/>
  <c r="J11" i="61"/>
  <c r="J10" i="37"/>
  <c r="I11" i="61"/>
  <c r="I10" i="37"/>
  <c r="P10" i="37"/>
  <c r="H11" i="61"/>
  <c r="O11" i="61"/>
  <c r="H9" i="37"/>
  <c r="O9" i="37"/>
  <c r="N10" i="61"/>
  <c r="M10" i="61"/>
  <c r="L10" i="61"/>
  <c r="K10" i="61"/>
  <c r="K9" i="37"/>
  <c r="J10" i="61"/>
  <c r="J9" i="37"/>
  <c r="I10" i="61"/>
  <c r="I9" i="37"/>
  <c r="P9" i="37"/>
  <c r="H10" i="61"/>
  <c r="N220" i="60"/>
  <c r="M220" i="60"/>
  <c r="L220" i="60"/>
  <c r="K220" i="60"/>
  <c r="J220" i="60"/>
  <c r="I220" i="60"/>
  <c r="H220" i="60"/>
  <c r="N218" i="60"/>
  <c r="M218" i="60"/>
  <c r="L218" i="60"/>
  <c r="K218" i="60"/>
  <c r="J218" i="60"/>
  <c r="I218" i="60"/>
  <c r="H218" i="60"/>
  <c r="O218" i="60"/>
  <c r="N215" i="60"/>
  <c r="M215" i="60"/>
  <c r="L215" i="60"/>
  <c r="K215" i="60"/>
  <c r="J215" i="60"/>
  <c r="I215" i="60"/>
  <c r="H215" i="60"/>
  <c r="O215" i="60"/>
  <c r="N213" i="60"/>
  <c r="M213" i="60"/>
  <c r="L213" i="60"/>
  <c r="K213" i="60"/>
  <c r="K207" i="60"/>
  <c r="K209" i="60"/>
  <c r="K204" i="60"/>
  <c r="J213" i="60"/>
  <c r="I213" i="60"/>
  <c r="H213" i="60"/>
  <c r="N209" i="60"/>
  <c r="N207" i="60"/>
  <c r="N204" i="60"/>
  <c r="M209" i="60"/>
  <c r="L209" i="60"/>
  <c r="J209" i="60"/>
  <c r="J207" i="60"/>
  <c r="J204" i="60"/>
  <c r="I209" i="60"/>
  <c r="H209" i="60"/>
  <c r="M207" i="60"/>
  <c r="M204" i="60"/>
  <c r="L207" i="60"/>
  <c r="I207" i="60"/>
  <c r="I204" i="60"/>
  <c r="H207" i="60"/>
  <c r="N203" i="60"/>
  <c r="M203" i="60"/>
  <c r="L203" i="60"/>
  <c r="K203" i="60"/>
  <c r="J203" i="60"/>
  <c r="I203" i="60"/>
  <c r="H203" i="60"/>
  <c r="O203" i="60"/>
  <c r="N201" i="60"/>
  <c r="M201" i="60"/>
  <c r="L201" i="60"/>
  <c r="K201" i="60"/>
  <c r="J201" i="60"/>
  <c r="I201" i="60"/>
  <c r="H201" i="60"/>
  <c r="N198" i="60"/>
  <c r="M198" i="60"/>
  <c r="L198" i="60"/>
  <c r="K198" i="60"/>
  <c r="J198" i="60"/>
  <c r="I198" i="60"/>
  <c r="H198" i="60"/>
  <c r="N196" i="60"/>
  <c r="M196" i="60"/>
  <c r="M191" i="60"/>
  <c r="M193" i="60"/>
  <c r="M188" i="60"/>
  <c r="L196" i="60"/>
  <c r="K196" i="60"/>
  <c r="J196" i="60"/>
  <c r="I196" i="60"/>
  <c r="I191" i="60"/>
  <c r="I193" i="60"/>
  <c r="I188" i="60"/>
  <c r="H196" i="60"/>
  <c r="N193" i="60"/>
  <c r="L193" i="60"/>
  <c r="L191" i="60"/>
  <c r="L188" i="60"/>
  <c r="K193" i="60"/>
  <c r="J193" i="60"/>
  <c r="H193" i="60"/>
  <c r="H191" i="60"/>
  <c r="H188" i="60"/>
  <c r="N191" i="60"/>
  <c r="K191" i="60"/>
  <c r="K188" i="60"/>
  <c r="J191" i="60"/>
  <c r="N186" i="60"/>
  <c r="M186" i="60"/>
  <c r="L186" i="60"/>
  <c r="K186" i="60"/>
  <c r="J186" i="60"/>
  <c r="I186" i="60"/>
  <c r="H186" i="60"/>
  <c r="N185" i="60"/>
  <c r="M185" i="60"/>
  <c r="L185" i="60"/>
  <c r="K185" i="60"/>
  <c r="J185" i="60"/>
  <c r="I185" i="60"/>
  <c r="H185" i="60"/>
  <c r="O185" i="60"/>
  <c r="N183" i="60"/>
  <c r="M183" i="60"/>
  <c r="L183" i="60"/>
  <c r="K183" i="60"/>
  <c r="J183" i="60"/>
  <c r="I183" i="60"/>
  <c r="H183" i="60"/>
  <c r="O183" i="60"/>
  <c r="N181" i="60"/>
  <c r="M181" i="60"/>
  <c r="L181" i="60"/>
  <c r="K181" i="60"/>
  <c r="J181" i="60"/>
  <c r="I181" i="60"/>
  <c r="H181" i="60"/>
  <c r="O181" i="60"/>
  <c r="N178" i="60"/>
  <c r="M178" i="60"/>
  <c r="L178" i="60"/>
  <c r="K178" i="60"/>
  <c r="J178" i="60"/>
  <c r="H178" i="60"/>
  <c r="I178" i="60"/>
  <c r="O178" i="60"/>
  <c r="N177" i="60"/>
  <c r="M177" i="60"/>
  <c r="L177" i="60"/>
  <c r="K177" i="60"/>
  <c r="J177" i="60"/>
  <c r="I177" i="60"/>
  <c r="H177" i="60"/>
  <c r="N175" i="60"/>
  <c r="M175" i="60"/>
  <c r="L175" i="60"/>
  <c r="L171" i="60"/>
  <c r="L172" i="60"/>
  <c r="L173" i="60"/>
  <c r="L169" i="60"/>
  <c r="K175" i="60"/>
  <c r="J175" i="60"/>
  <c r="I175" i="60"/>
  <c r="H175" i="60"/>
  <c r="O175" i="60"/>
  <c r="N173" i="60"/>
  <c r="M173" i="60"/>
  <c r="K173" i="60"/>
  <c r="J173" i="60"/>
  <c r="I173" i="60"/>
  <c r="H173" i="60"/>
  <c r="O173" i="60"/>
  <c r="N172" i="60"/>
  <c r="N171" i="60"/>
  <c r="N169" i="60"/>
  <c r="M172" i="60"/>
  <c r="K172" i="60"/>
  <c r="J172" i="60"/>
  <c r="H172" i="60"/>
  <c r="I172" i="60"/>
  <c r="O172" i="60"/>
  <c r="M171" i="60"/>
  <c r="M169" i="60"/>
  <c r="K171" i="60"/>
  <c r="J171" i="60"/>
  <c r="I171" i="60"/>
  <c r="I169" i="60"/>
  <c r="I168" i="60"/>
  <c r="H171" i="60"/>
  <c r="N152" i="60"/>
  <c r="M152" i="60"/>
  <c r="L152" i="60"/>
  <c r="L151" i="60"/>
  <c r="L150" i="60"/>
  <c r="K152" i="60"/>
  <c r="J152" i="60"/>
  <c r="I152" i="60"/>
  <c r="H152" i="60"/>
  <c r="O152" i="60"/>
  <c r="N151" i="60"/>
  <c r="M151" i="60"/>
  <c r="K151" i="60"/>
  <c r="K150" i="60"/>
  <c r="J151" i="60"/>
  <c r="I151" i="60"/>
  <c r="H151" i="60"/>
  <c r="M145" i="60"/>
  <c r="I145" i="60"/>
  <c r="N145" i="60"/>
  <c r="K145" i="60"/>
  <c r="J145" i="60"/>
  <c r="N144" i="60"/>
  <c r="M144" i="60"/>
  <c r="L144" i="60"/>
  <c r="K144" i="60"/>
  <c r="J144" i="60"/>
  <c r="I144" i="60"/>
  <c r="H144" i="60"/>
  <c r="N143" i="60"/>
  <c r="M143" i="60"/>
  <c r="L143" i="60"/>
  <c r="K143" i="60"/>
  <c r="J143" i="60"/>
  <c r="I143" i="60"/>
  <c r="H143" i="60"/>
  <c r="N142" i="60"/>
  <c r="M142" i="60"/>
  <c r="L142" i="60"/>
  <c r="K142" i="60"/>
  <c r="J142" i="60"/>
  <c r="I142" i="60"/>
  <c r="H142" i="60"/>
  <c r="N141" i="60"/>
  <c r="M141" i="60"/>
  <c r="L141" i="60"/>
  <c r="K141" i="60"/>
  <c r="J141" i="60"/>
  <c r="I141" i="60"/>
  <c r="H141" i="60"/>
  <c r="N140" i="60"/>
  <c r="M140" i="60"/>
  <c r="L140" i="60"/>
  <c r="K140" i="60"/>
  <c r="J140" i="60"/>
  <c r="I140" i="60"/>
  <c r="H140" i="60"/>
  <c r="N139" i="60"/>
  <c r="M139" i="60"/>
  <c r="M138" i="60"/>
  <c r="L139" i="60"/>
  <c r="K139" i="60"/>
  <c r="J139" i="60"/>
  <c r="I139" i="60"/>
  <c r="H139" i="60"/>
  <c r="N137" i="60"/>
  <c r="M137" i="60"/>
  <c r="L137" i="60"/>
  <c r="K137" i="60"/>
  <c r="J137" i="60"/>
  <c r="I137" i="60"/>
  <c r="H137" i="60"/>
  <c r="N136" i="60"/>
  <c r="M136" i="60"/>
  <c r="L136" i="60"/>
  <c r="K136" i="60"/>
  <c r="J136" i="60"/>
  <c r="I136" i="60"/>
  <c r="H136" i="60"/>
  <c r="N135" i="60"/>
  <c r="M135" i="60"/>
  <c r="L135" i="60"/>
  <c r="K135" i="60"/>
  <c r="J135" i="60"/>
  <c r="I135" i="60"/>
  <c r="H135" i="60"/>
  <c r="O135" i="60"/>
  <c r="N134" i="60"/>
  <c r="M134" i="60"/>
  <c r="L134" i="60"/>
  <c r="K134" i="60"/>
  <c r="J134" i="60"/>
  <c r="I134" i="60"/>
  <c r="H134" i="60"/>
  <c r="N133" i="60"/>
  <c r="M133" i="60"/>
  <c r="M132" i="60"/>
  <c r="L133" i="60"/>
  <c r="K133" i="60"/>
  <c r="J133" i="60"/>
  <c r="I133" i="60"/>
  <c r="H133" i="60"/>
  <c r="N129" i="60"/>
  <c r="M129" i="60"/>
  <c r="L129" i="60"/>
  <c r="L127" i="60"/>
  <c r="L128" i="60"/>
  <c r="L126" i="60"/>
  <c r="L125" i="60"/>
  <c r="K129" i="60"/>
  <c r="J129" i="60"/>
  <c r="I129" i="60"/>
  <c r="I127" i="60"/>
  <c r="I128" i="60"/>
  <c r="I126" i="60"/>
  <c r="I125" i="60"/>
  <c r="H129" i="60"/>
  <c r="O129" i="60"/>
  <c r="N128" i="60"/>
  <c r="M128" i="60"/>
  <c r="K128" i="60"/>
  <c r="J128" i="60"/>
  <c r="H128" i="60"/>
  <c r="N127" i="60"/>
  <c r="M127" i="60"/>
  <c r="K127" i="60"/>
  <c r="J127" i="60"/>
  <c r="H127" i="60"/>
  <c r="N121" i="60"/>
  <c r="M121" i="60"/>
  <c r="L121" i="60"/>
  <c r="L120" i="60"/>
  <c r="L119" i="60"/>
  <c r="K121" i="60"/>
  <c r="N120" i="60"/>
  <c r="M120" i="60"/>
  <c r="K120" i="60"/>
  <c r="N117" i="60"/>
  <c r="N116" i="60"/>
  <c r="M117" i="60"/>
  <c r="L117" i="60"/>
  <c r="L116" i="60"/>
  <c r="K117" i="60"/>
  <c r="K116" i="60"/>
  <c r="J117" i="60"/>
  <c r="I117" i="60"/>
  <c r="H117" i="60"/>
  <c r="H116" i="60"/>
  <c r="N115" i="60"/>
  <c r="N114" i="60"/>
  <c r="M115" i="60"/>
  <c r="L115" i="60"/>
  <c r="L114" i="60"/>
  <c r="K115" i="60"/>
  <c r="J115" i="60"/>
  <c r="I115" i="60"/>
  <c r="I114" i="60"/>
  <c r="H115" i="60"/>
  <c r="N113" i="60"/>
  <c r="M113" i="60"/>
  <c r="L113" i="60"/>
  <c r="K113" i="60"/>
  <c r="J113" i="60"/>
  <c r="I113" i="60"/>
  <c r="O113" i="60"/>
  <c r="H113" i="60"/>
  <c r="N112" i="60"/>
  <c r="M112" i="60"/>
  <c r="L112" i="60"/>
  <c r="K112" i="60"/>
  <c r="J112" i="60"/>
  <c r="I112" i="60"/>
  <c r="O112" i="60"/>
  <c r="H112" i="60"/>
  <c r="N111" i="60"/>
  <c r="M111" i="60"/>
  <c r="L111" i="60"/>
  <c r="K111" i="60"/>
  <c r="J111" i="60"/>
  <c r="I111" i="60"/>
  <c r="H111" i="60"/>
  <c r="N110" i="60"/>
  <c r="M110" i="60"/>
  <c r="L110" i="60"/>
  <c r="K110" i="60"/>
  <c r="J110" i="60"/>
  <c r="I110" i="60"/>
  <c r="H110" i="60"/>
  <c r="N109" i="60"/>
  <c r="M109" i="60"/>
  <c r="L109" i="60"/>
  <c r="K109" i="60"/>
  <c r="J109" i="60"/>
  <c r="I109" i="60"/>
  <c r="H109" i="60"/>
  <c r="O109" i="60"/>
  <c r="N104" i="60"/>
  <c r="N103" i="60"/>
  <c r="M104" i="60"/>
  <c r="M103" i="60"/>
  <c r="L104" i="60"/>
  <c r="K104" i="60"/>
  <c r="I103" i="60"/>
  <c r="H103" i="60"/>
  <c r="N100" i="60"/>
  <c r="M100" i="60"/>
  <c r="L100" i="60"/>
  <c r="K100" i="60"/>
  <c r="J100" i="60"/>
  <c r="I100" i="60"/>
  <c r="H100" i="60"/>
  <c r="N99" i="60"/>
  <c r="M99" i="60"/>
  <c r="L99" i="60"/>
  <c r="K99" i="60"/>
  <c r="J99" i="60"/>
  <c r="I99" i="60"/>
  <c r="H99" i="60"/>
  <c r="N98" i="60"/>
  <c r="M98" i="60"/>
  <c r="L98" i="60"/>
  <c r="K98" i="60"/>
  <c r="J98" i="60"/>
  <c r="H98" i="60"/>
  <c r="I98" i="60"/>
  <c r="O98" i="60"/>
  <c r="N97" i="60"/>
  <c r="M97" i="60"/>
  <c r="L97" i="60"/>
  <c r="K97" i="60"/>
  <c r="J97" i="60"/>
  <c r="I97" i="60"/>
  <c r="H97" i="60"/>
  <c r="N96" i="60"/>
  <c r="M96" i="60"/>
  <c r="L96" i="60"/>
  <c r="K96" i="60"/>
  <c r="J96" i="60"/>
  <c r="I96" i="60"/>
  <c r="H96" i="60"/>
  <c r="N95" i="60"/>
  <c r="M95" i="60"/>
  <c r="L95" i="60"/>
  <c r="K95" i="60"/>
  <c r="J95" i="60"/>
  <c r="I95" i="60"/>
  <c r="H95" i="60"/>
  <c r="N93" i="60"/>
  <c r="M93" i="60"/>
  <c r="L93" i="60"/>
  <c r="K93" i="60"/>
  <c r="J93" i="60"/>
  <c r="I93" i="60"/>
  <c r="H93" i="60"/>
  <c r="N92" i="60"/>
  <c r="M92" i="60"/>
  <c r="L92" i="60"/>
  <c r="K92" i="60"/>
  <c r="J92" i="60"/>
  <c r="I92" i="60"/>
  <c r="H92" i="60"/>
  <c r="O92" i="60"/>
  <c r="N91" i="60"/>
  <c r="M91" i="60"/>
  <c r="L91" i="60"/>
  <c r="L90" i="60"/>
  <c r="K91" i="60"/>
  <c r="J91" i="60"/>
  <c r="I91" i="60"/>
  <c r="H91" i="60"/>
  <c r="N89" i="60"/>
  <c r="M89" i="60"/>
  <c r="L89" i="60"/>
  <c r="K89" i="60"/>
  <c r="J89" i="60"/>
  <c r="I89" i="60"/>
  <c r="H89" i="60"/>
  <c r="N88" i="60"/>
  <c r="M88" i="60"/>
  <c r="L88" i="60"/>
  <c r="K88" i="60"/>
  <c r="J88" i="60"/>
  <c r="I88" i="60"/>
  <c r="H88" i="60"/>
  <c r="N87" i="60"/>
  <c r="M87" i="60"/>
  <c r="L87" i="60"/>
  <c r="K87" i="60"/>
  <c r="J87" i="60"/>
  <c r="I87" i="60"/>
  <c r="H87" i="60"/>
  <c r="O87" i="60"/>
  <c r="N85" i="60"/>
  <c r="M85" i="60"/>
  <c r="L85" i="60"/>
  <c r="K85" i="60"/>
  <c r="J85" i="60"/>
  <c r="I85" i="60"/>
  <c r="H85" i="60"/>
  <c r="N84" i="60"/>
  <c r="M84" i="60"/>
  <c r="L84" i="60"/>
  <c r="K84" i="60"/>
  <c r="J84" i="60"/>
  <c r="I84" i="60"/>
  <c r="H84" i="60"/>
  <c r="N83" i="60"/>
  <c r="M83" i="60"/>
  <c r="L83" i="60"/>
  <c r="K83" i="60"/>
  <c r="J83" i="60"/>
  <c r="J81" i="60"/>
  <c r="J82" i="60"/>
  <c r="J80" i="60"/>
  <c r="I83" i="60"/>
  <c r="H83" i="60"/>
  <c r="N82" i="60"/>
  <c r="M82" i="60"/>
  <c r="L82" i="60"/>
  <c r="K82" i="60"/>
  <c r="I82" i="60"/>
  <c r="H82" i="60"/>
  <c r="N81" i="60"/>
  <c r="M81" i="60"/>
  <c r="L81" i="60"/>
  <c r="K81" i="60"/>
  <c r="I81" i="60"/>
  <c r="H81" i="60"/>
  <c r="N79" i="60"/>
  <c r="M79" i="60"/>
  <c r="L79" i="60"/>
  <c r="K79" i="60"/>
  <c r="J79" i="60"/>
  <c r="I79" i="60"/>
  <c r="H79" i="60"/>
  <c r="N78" i="60"/>
  <c r="N77" i="60"/>
  <c r="M78" i="60"/>
  <c r="L78" i="60"/>
  <c r="K78" i="60"/>
  <c r="J78" i="60"/>
  <c r="I78" i="60"/>
  <c r="I77" i="60"/>
  <c r="H78" i="60"/>
  <c r="N76" i="60"/>
  <c r="M76" i="60"/>
  <c r="L76" i="60"/>
  <c r="K76" i="60"/>
  <c r="J76" i="60"/>
  <c r="I76" i="60"/>
  <c r="H76" i="60"/>
  <c r="N75" i="60"/>
  <c r="M75" i="60"/>
  <c r="L75" i="60"/>
  <c r="K75" i="60"/>
  <c r="J75" i="60"/>
  <c r="I75" i="60"/>
  <c r="O75" i="60"/>
  <c r="H75" i="60"/>
  <c r="N74" i="60"/>
  <c r="M74" i="60"/>
  <c r="L74" i="60"/>
  <c r="K74" i="60"/>
  <c r="J74" i="60"/>
  <c r="I74" i="60"/>
  <c r="H74" i="60"/>
  <c r="N73" i="60"/>
  <c r="M73" i="60"/>
  <c r="L73" i="60"/>
  <c r="K73" i="60"/>
  <c r="J73" i="60"/>
  <c r="I73" i="60"/>
  <c r="H73" i="60"/>
  <c r="N72" i="60"/>
  <c r="M72" i="60"/>
  <c r="L72" i="60"/>
  <c r="K72" i="60"/>
  <c r="J72" i="60"/>
  <c r="I72" i="60"/>
  <c r="H72" i="60"/>
  <c r="N69" i="60"/>
  <c r="M69" i="60"/>
  <c r="L69" i="60"/>
  <c r="K69" i="60"/>
  <c r="J69" i="60"/>
  <c r="I69" i="60"/>
  <c r="H69" i="60"/>
  <c r="N68" i="60"/>
  <c r="M68" i="60"/>
  <c r="L68" i="60"/>
  <c r="K68" i="60"/>
  <c r="J68" i="60"/>
  <c r="I68" i="60"/>
  <c r="O68" i="60"/>
  <c r="H68" i="60"/>
  <c r="N67" i="60"/>
  <c r="M67" i="60"/>
  <c r="L67" i="60"/>
  <c r="K67" i="60"/>
  <c r="J67" i="60"/>
  <c r="I67" i="60"/>
  <c r="H67" i="60"/>
  <c r="N66" i="60"/>
  <c r="M66" i="60"/>
  <c r="L66" i="60"/>
  <c r="K66" i="60"/>
  <c r="J66" i="60"/>
  <c r="I66" i="60"/>
  <c r="H66" i="60"/>
  <c r="N65" i="60"/>
  <c r="M65" i="60"/>
  <c r="L65" i="60"/>
  <c r="K65" i="60"/>
  <c r="J65" i="60"/>
  <c r="I65" i="60"/>
  <c r="H65" i="60"/>
  <c r="O65" i="60"/>
  <c r="N64" i="60"/>
  <c r="M64" i="60"/>
  <c r="L64" i="60"/>
  <c r="K64" i="60"/>
  <c r="J64" i="60"/>
  <c r="I64" i="60"/>
  <c r="H64" i="60"/>
  <c r="N62" i="60"/>
  <c r="M62" i="60"/>
  <c r="L62" i="60"/>
  <c r="K62" i="60"/>
  <c r="J62" i="60"/>
  <c r="I62" i="60"/>
  <c r="H62" i="60"/>
  <c r="N61" i="60"/>
  <c r="M61" i="60"/>
  <c r="L61" i="60"/>
  <c r="K61" i="60"/>
  <c r="J61" i="60"/>
  <c r="I61" i="60"/>
  <c r="O61" i="60"/>
  <c r="H61" i="60"/>
  <c r="N60" i="60"/>
  <c r="M60" i="60"/>
  <c r="L60" i="60"/>
  <c r="K60" i="60"/>
  <c r="J60" i="60"/>
  <c r="I60" i="60"/>
  <c r="O60" i="60"/>
  <c r="H60" i="60"/>
  <c r="N59" i="60"/>
  <c r="M59" i="60"/>
  <c r="L59" i="60"/>
  <c r="K59" i="60"/>
  <c r="K57" i="60"/>
  <c r="K58" i="60"/>
  <c r="K56" i="60"/>
  <c r="J59" i="60"/>
  <c r="I59" i="60"/>
  <c r="H59" i="60"/>
  <c r="N58" i="60"/>
  <c r="M58" i="60"/>
  <c r="L58" i="60"/>
  <c r="J58" i="60"/>
  <c r="I58" i="60"/>
  <c r="H58" i="60"/>
  <c r="N57" i="60"/>
  <c r="M57" i="60"/>
  <c r="L57" i="60"/>
  <c r="J57" i="60"/>
  <c r="I57" i="60"/>
  <c r="H57" i="60"/>
  <c r="N55" i="60"/>
  <c r="M55" i="60"/>
  <c r="L55" i="60"/>
  <c r="K55" i="60"/>
  <c r="J55" i="60"/>
  <c r="I55" i="60"/>
  <c r="H55" i="60"/>
  <c r="N54" i="60"/>
  <c r="M54" i="60"/>
  <c r="L54" i="60"/>
  <c r="K54" i="60"/>
  <c r="J54" i="60"/>
  <c r="I54" i="60"/>
  <c r="H54" i="60"/>
  <c r="N53" i="60"/>
  <c r="M53" i="60"/>
  <c r="L53" i="60"/>
  <c r="K53" i="60"/>
  <c r="J53" i="60"/>
  <c r="I53" i="60"/>
  <c r="H53" i="60"/>
  <c r="N52" i="60"/>
  <c r="M52" i="60"/>
  <c r="L52" i="60"/>
  <c r="K52" i="60"/>
  <c r="J52" i="60"/>
  <c r="I52" i="60"/>
  <c r="H52" i="60"/>
  <c r="N51" i="60"/>
  <c r="M51" i="60"/>
  <c r="L51" i="60"/>
  <c r="K51" i="60"/>
  <c r="J51" i="60"/>
  <c r="I51" i="60"/>
  <c r="H51" i="60"/>
  <c r="N50" i="60"/>
  <c r="M50" i="60"/>
  <c r="L50" i="60"/>
  <c r="K50" i="60"/>
  <c r="J50" i="60"/>
  <c r="I50" i="60"/>
  <c r="H50" i="60"/>
  <c r="O50" i="60"/>
  <c r="N49" i="60"/>
  <c r="M49" i="60"/>
  <c r="L49" i="60"/>
  <c r="K49" i="60"/>
  <c r="J49" i="60"/>
  <c r="I49" i="60"/>
  <c r="H49" i="60"/>
  <c r="N48" i="60"/>
  <c r="M48" i="60"/>
  <c r="M47" i="60"/>
  <c r="L48" i="60"/>
  <c r="K48" i="60"/>
  <c r="J48" i="60"/>
  <c r="I48" i="60"/>
  <c r="I47" i="60"/>
  <c r="H48" i="60"/>
  <c r="N46" i="60"/>
  <c r="N45" i="60"/>
  <c r="M46" i="60"/>
  <c r="M45" i="60"/>
  <c r="L46" i="60"/>
  <c r="L45" i="60"/>
  <c r="K46" i="60"/>
  <c r="K45" i="60"/>
  <c r="J46" i="60"/>
  <c r="J45" i="60"/>
  <c r="I46" i="60"/>
  <c r="I45" i="60"/>
  <c r="H46" i="60"/>
  <c r="H45" i="60"/>
  <c r="N44" i="60"/>
  <c r="M44" i="60"/>
  <c r="L44" i="60"/>
  <c r="K44" i="60"/>
  <c r="J44" i="60"/>
  <c r="I44" i="60"/>
  <c r="H44" i="60"/>
  <c r="N43" i="60"/>
  <c r="M43" i="60"/>
  <c r="L43" i="60"/>
  <c r="K43" i="60"/>
  <c r="J43" i="60"/>
  <c r="I43" i="60"/>
  <c r="H43" i="60"/>
  <c r="N42" i="60"/>
  <c r="M42" i="60"/>
  <c r="L42" i="60"/>
  <c r="K42" i="60"/>
  <c r="J42" i="60"/>
  <c r="I42" i="60"/>
  <c r="H42" i="60"/>
  <c r="N41" i="60"/>
  <c r="M41" i="60"/>
  <c r="L41" i="60"/>
  <c r="K41" i="60"/>
  <c r="J41" i="60"/>
  <c r="I41" i="60"/>
  <c r="H41" i="60"/>
  <c r="O41" i="60"/>
  <c r="N40" i="60"/>
  <c r="M40" i="60"/>
  <c r="L40" i="60"/>
  <c r="K40" i="60"/>
  <c r="J40" i="60"/>
  <c r="I40" i="60"/>
  <c r="H40" i="60"/>
  <c r="N39" i="60"/>
  <c r="M39" i="60"/>
  <c r="L39" i="60"/>
  <c r="K39" i="60"/>
  <c r="J39" i="60"/>
  <c r="I39" i="60"/>
  <c r="H39" i="60"/>
  <c r="N38" i="60"/>
  <c r="M38" i="60"/>
  <c r="L38" i="60"/>
  <c r="K38" i="60"/>
  <c r="J38" i="60"/>
  <c r="I38" i="60"/>
  <c r="H38" i="60"/>
  <c r="O38" i="60"/>
  <c r="N35" i="60"/>
  <c r="M35" i="60"/>
  <c r="L35" i="60"/>
  <c r="K35" i="60"/>
  <c r="J35" i="60"/>
  <c r="I35" i="60"/>
  <c r="H35" i="60"/>
  <c r="O35" i="60"/>
  <c r="N34" i="60"/>
  <c r="M34" i="60"/>
  <c r="L34" i="60"/>
  <c r="K34" i="60"/>
  <c r="J34" i="60"/>
  <c r="I34" i="60"/>
  <c r="H34" i="60"/>
  <c r="N33" i="60"/>
  <c r="N32" i="60"/>
  <c r="M33" i="60"/>
  <c r="L33" i="60"/>
  <c r="K33" i="60"/>
  <c r="J33" i="60"/>
  <c r="J32" i="60"/>
  <c r="I33" i="60"/>
  <c r="H33" i="60"/>
  <c r="N31" i="60"/>
  <c r="M31" i="60"/>
  <c r="M30" i="60"/>
  <c r="M29" i="60"/>
  <c r="L31" i="60"/>
  <c r="K31" i="60"/>
  <c r="J31" i="60"/>
  <c r="J30" i="60"/>
  <c r="J29" i="60"/>
  <c r="I31" i="60"/>
  <c r="H31" i="60"/>
  <c r="N30" i="60"/>
  <c r="L30" i="60"/>
  <c r="K30" i="60"/>
  <c r="I30" i="60"/>
  <c r="H30" i="60"/>
  <c r="O30" i="60"/>
  <c r="N25" i="60"/>
  <c r="M25" i="60"/>
  <c r="L25" i="60"/>
  <c r="K25" i="60"/>
  <c r="J25" i="60"/>
  <c r="I25" i="60"/>
  <c r="H25" i="60"/>
  <c r="N24" i="60"/>
  <c r="M24" i="60"/>
  <c r="L24" i="60"/>
  <c r="K24" i="60"/>
  <c r="J24" i="60"/>
  <c r="I24" i="60"/>
  <c r="H24" i="60"/>
  <c r="N23" i="60"/>
  <c r="M23" i="60"/>
  <c r="L23" i="60"/>
  <c r="K23" i="60"/>
  <c r="J23" i="60"/>
  <c r="I23" i="60"/>
  <c r="H23" i="60"/>
  <c r="O23" i="60"/>
  <c r="N22" i="60"/>
  <c r="M22" i="60"/>
  <c r="L22" i="60"/>
  <c r="K22" i="60"/>
  <c r="J22" i="60"/>
  <c r="I22" i="60"/>
  <c r="H22" i="60"/>
  <c r="O22" i="60"/>
  <c r="N21" i="60"/>
  <c r="M21" i="60"/>
  <c r="L21" i="60"/>
  <c r="K21" i="60"/>
  <c r="J21" i="60"/>
  <c r="I21" i="60"/>
  <c r="H21" i="60"/>
  <c r="N20" i="60"/>
  <c r="M20" i="60"/>
  <c r="L20" i="60"/>
  <c r="K20" i="60"/>
  <c r="J20" i="60"/>
  <c r="I20" i="60"/>
  <c r="H20" i="60"/>
  <c r="N19" i="60"/>
  <c r="M19" i="60"/>
  <c r="L19" i="60"/>
  <c r="K19" i="60"/>
  <c r="J19" i="60"/>
  <c r="I19" i="60"/>
  <c r="H19" i="60"/>
  <c r="O19" i="60"/>
  <c r="N18" i="60"/>
  <c r="M18" i="60"/>
  <c r="L18" i="60"/>
  <c r="K18" i="60"/>
  <c r="J18" i="60"/>
  <c r="I18" i="60"/>
  <c r="H18" i="60"/>
  <c r="H17" i="60"/>
  <c r="N14" i="60"/>
  <c r="M14" i="60"/>
  <c r="L14" i="60"/>
  <c r="K14" i="60"/>
  <c r="J14" i="60"/>
  <c r="I14" i="60"/>
  <c r="O14" i="60"/>
  <c r="H14" i="60"/>
  <c r="N13" i="60"/>
  <c r="M13" i="60"/>
  <c r="L13" i="60"/>
  <c r="K13" i="60"/>
  <c r="J13" i="60"/>
  <c r="I13" i="60"/>
  <c r="H13" i="60"/>
  <c r="N12" i="60"/>
  <c r="M12" i="60"/>
  <c r="M10" i="60"/>
  <c r="M11" i="60"/>
  <c r="M9" i="60"/>
  <c r="M8" i="60"/>
  <c r="L12" i="60"/>
  <c r="K12" i="60"/>
  <c r="J12" i="60"/>
  <c r="I12" i="60"/>
  <c r="H12" i="60"/>
  <c r="O12" i="60"/>
  <c r="N11" i="60"/>
  <c r="L11" i="60"/>
  <c r="K11" i="60"/>
  <c r="J11" i="60"/>
  <c r="I11" i="60"/>
  <c r="H11" i="60"/>
  <c r="O11" i="60"/>
  <c r="N10" i="60"/>
  <c r="L10" i="60"/>
  <c r="K10" i="60"/>
  <c r="J10" i="60"/>
  <c r="I10" i="60"/>
  <c r="H10" i="60"/>
  <c r="N220" i="59"/>
  <c r="M220" i="59"/>
  <c r="L220" i="59"/>
  <c r="K220" i="59"/>
  <c r="J220" i="59"/>
  <c r="I220" i="59"/>
  <c r="H220" i="59"/>
  <c r="N218" i="59"/>
  <c r="M218" i="59"/>
  <c r="L218" i="59"/>
  <c r="K218" i="59"/>
  <c r="J218" i="59"/>
  <c r="I218" i="59"/>
  <c r="H218" i="59"/>
  <c r="N215" i="59"/>
  <c r="M215" i="59"/>
  <c r="L215" i="59"/>
  <c r="K215" i="59"/>
  <c r="J215" i="59"/>
  <c r="I215" i="59"/>
  <c r="H215" i="59"/>
  <c r="O215" i="59"/>
  <c r="N213" i="59"/>
  <c r="M213" i="59"/>
  <c r="L213" i="59"/>
  <c r="K213" i="59"/>
  <c r="J213" i="59"/>
  <c r="I213" i="59"/>
  <c r="H213" i="59"/>
  <c r="N209" i="59"/>
  <c r="N207" i="59"/>
  <c r="N204" i="59"/>
  <c r="M209" i="59"/>
  <c r="L209" i="59"/>
  <c r="K209" i="59"/>
  <c r="J209" i="59"/>
  <c r="I209" i="59"/>
  <c r="H209" i="59"/>
  <c r="M207" i="59"/>
  <c r="L207" i="59"/>
  <c r="K207" i="59"/>
  <c r="J207" i="59"/>
  <c r="I207" i="59"/>
  <c r="H207" i="59"/>
  <c r="N203" i="59"/>
  <c r="M203" i="59"/>
  <c r="L203" i="59"/>
  <c r="K203" i="59"/>
  <c r="J203" i="59"/>
  <c r="I203" i="59"/>
  <c r="H203" i="59"/>
  <c r="N201" i="59"/>
  <c r="M201" i="59"/>
  <c r="L201" i="59"/>
  <c r="K201" i="59"/>
  <c r="J201" i="59"/>
  <c r="I201" i="59"/>
  <c r="H201" i="59"/>
  <c r="O201" i="59"/>
  <c r="N198" i="59"/>
  <c r="M198" i="59"/>
  <c r="L198" i="59"/>
  <c r="K198" i="59"/>
  <c r="J198" i="59"/>
  <c r="I198" i="59"/>
  <c r="H198" i="59"/>
  <c r="N196" i="59"/>
  <c r="M196" i="59"/>
  <c r="L196" i="59"/>
  <c r="K196" i="59"/>
  <c r="J196" i="59"/>
  <c r="I196" i="59"/>
  <c r="H196" i="59"/>
  <c r="N193" i="59"/>
  <c r="M193" i="59"/>
  <c r="L193" i="59"/>
  <c r="K193" i="59"/>
  <c r="J193" i="59"/>
  <c r="I193" i="59"/>
  <c r="H193" i="59"/>
  <c r="N191" i="59"/>
  <c r="M191" i="59"/>
  <c r="L191" i="59"/>
  <c r="K191" i="59"/>
  <c r="K188" i="59"/>
  <c r="J191" i="59"/>
  <c r="I191" i="59"/>
  <c r="H191" i="59"/>
  <c r="O191" i="59"/>
  <c r="N186" i="59"/>
  <c r="M186" i="59"/>
  <c r="L186" i="59"/>
  <c r="K186" i="59"/>
  <c r="J186" i="59"/>
  <c r="I186" i="59"/>
  <c r="H186" i="59"/>
  <c r="N185" i="59"/>
  <c r="M185" i="59"/>
  <c r="L185" i="59"/>
  <c r="K185" i="59"/>
  <c r="J185" i="59"/>
  <c r="I185" i="59"/>
  <c r="H185" i="59"/>
  <c r="N183" i="59"/>
  <c r="M183" i="59"/>
  <c r="L183" i="59"/>
  <c r="K183" i="59"/>
  <c r="J183" i="59"/>
  <c r="I183" i="59"/>
  <c r="H183" i="59"/>
  <c r="O183" i="59"/>
  <c r="N181" i="59"/>
  <c r="M181" i="59"/>
  <c r="L181" i="59"/>
  <c r="K181" i="59"/>
  <c r="J181" i="59"/>
  <c r="I181" i="59"/>
  <c r="H181" i="59"/>
  <c r="N178" i="59"/>
  <c r="M178" i="59"/>
  <c r="L178" i="59"/>
  <c r="K178" i="59"/>
  <c r="J178" i="59"/>
  <c r="I178" i="59"/>
  <c r="H178" i="59"/>
  <c r="N177" i="59"/>
  <c r="M177" i="59"/>
  <c r="L177" i="59"/>
  <c r="K177" i="59"/>
  <c r="J177" i="59"/>
  <c r="I177" i="59"/>
  <c r="H177" i="59"/>
  <c r="N175" i="59"/>
  <c r="M175" i="59"/>
  <c r="L175" i="59"/>
  <c r="K175" i="59"/>
  <c r="J175" i="59"/>
  <c r="I175" i="59"/>
  <c r="H175" i="59"/>
  <c r="O175" i="59"/>
  <c r="N173" i="59"/>
  <c r="M173" i="59"/>
  <c r="L173" i="59"/>
  <c r="K173" i="59"/>
  <c r="J173" i="59"/>
  <c r="I173" i="59"/>
  <c r="H173" i="59"/>
  <c r="N172" i="59"/>
  <c r="M172" i="59"/>
  <c r="L172" i="59"/>
  <c r="K172" i="59"/>
  <c r="J172" i="59"/>
  <c r="H172" i="59"/>
  <c r="I172" i="59"/>
  <c r="O172" i="59"/>
  <c r="N171" i="59"/>
  <c r="M171" i="59"/>
  <c r="L171" i="59"/>
  <c r="K171" i="59"/>
  <c r="J171" i="59"/>
  <c r="I171" i="59"/>
  <c r="I169" i="59"/>
  <c r="H171" i="59"/>
  <c r="N152" i="59"/>
  <c r="M152" i="59"/>
  <c r="L152" i="59"/>
  <c r="K152" i="59"/>
  <c r="J152" i="59"/>
  <c r="I152" i="59"/>
  <c r="H152" i="59"/>
  <c r="N151" i="59"/>
  <c r="N150" i="59"/>
  <c r="M151" i="59"/>
  <c r="L151" i="59"/>
  <c r="K151" i="59"/>
  <c r="J151" i="59"/>
  <c r="J150" i="59"/>
  <c r="I151" i="59"/>
  <c r="H151" i="59"/>
  <c r="K145" i="59"/>
  <c r="N145" i="59"/>
  <c r="M145" i="59"/>
  <c r="J145" i="59"/>
  <c r="I145" i="59"/>
  <c r="N144" i="59"/>
  <c r="M144" i="59"/>
  <c r="L144" i="59"/>
  <c r="K144" i="59"/>
  <c r="J144" i="59"/>
  <c r="I144" i="59"/>
  <c r="H144" i="59"/>
  <c r="N143" i="59"/>
  <c r="M143" i="59"/>
  <c r="L143" i="59"/>
  <c r="K143" i="59"/>
  <c r="J143" i="59"/>
  <c r="I143" i="59"/>
  <c r="H143" i="59"/>
  <c r="N142" i="59"/>
  <c r="M142" i="59"/>
  <c r="L142" i="59"/>
  <c r="K142" i="59"/>
  <c r="J142" i="59"/>
  <c r="I142" i="59"/>
  <c r="H142" i="59"/>
  <c r="N141" i="59"/>
  <c r="M141" i="59"/>
  <c r="L141" i="59"/>
  <c r="K141" i="59"/>
  <c r="J141" i="59"/>
  <c r="I141" i="59"/>
  <c r="H141" i="59"/>
  <c r="N140" i="59"/>
  <c r="M140" i="59"/>
  <c r="L140" i="59"/>
  <c r="K140" i="59"/>
  <c r="J140" i="59"/>
  <c r="I140" i="59"/>
  <c r="O140" i="59"/>
  <c r="H140" i="59"/>
  <c r="N139" i="59"/>
  <c r="N138" i="59"/>
  <c r="M139" i="59"/>
  <c r="L139" i="59"/>
  <c r="K139" i="59"/>
  <c r="J139" i="59"/>
  <c r="I139" i="59"/>
  <c r="O139" i="59"/>
  <c r="H139" i="59"/>
  <c r="N137" i="59"/>
  <c r="M137" i="59"/>
  <c r="L137" i="59"/>
  <c r="K137" i="59"/>
  <c r="J137" i="59"/>
  <c r="I137" i="59"/>
  <c r="H137" i="59"/>
  <c r="N136" i="59"/>
  <c r="M136" i="59"/>
  <c r="L136" i="59"/>
  <c r="K136" i="59"/>
  <c r="J136" i="59"/>
  <c r="I136" i="59"/>
  <c r="H136" i="59"/>
  <c r="O136" i="59"/>
  <c r="N135" i="59"/>
  <c r="M135" i="59"/>
  <c r="L135" i="59"/>
  <c r="K135" i="59"/>
  <c r="J135" i="59"/>
  <c r="I135" i="59"/>
  <c r="H135" i="59"/>
  <c r="N134" i="59"/>
  <c r="M134" i="59"/>
  <c r="L134" i="59"/>
  <c r="K134" i="59"/>
  <c r="J134" i="59"/>
  <c r="I134" i="59"/>
  <c r="H134" i="59"/>
  <c r="N133" i="59"/>
  <c r="M133" i="59"/>
  <c r="L133" i="59"/>
  <c r="K133" i="59"/>
  <c r="J133" i="59"/>
  <c r="I133" i="59"/>
  <c r="H133" i="59"/>
  <c r="N129" i="59"/>
  <c r="M129" i="59"/>
  <c r="L129" i="59"/>
  <c r="K129" i="59"/>
  <c r="J129" i="59"/>
  <c r="I129" i="59"/>
  <c r="H129" i="59"/>
  <c r="O129" i="59"/>
  <c r="N128" i="59"/>
  <c r="M128" i="59"/>
  <c r="L128" i="59"/>
  <c r="K128" i="59"/>
  <c r="J128" i="59"/>
  <c r="I128" i="59"/>
  <c r="H128" i="59"/>
  <c r="N127" i="59"/>
  <c r="N126" i="59"/>
  <c r="N125" i="59"/>
  <c r="M127" i="59"/>
  <c r="L127" i="59"/>
  <c r="K127" i="59"/>
  <c r="J127" i="59"/>
  <c r="J126" i="59"/>
  <c r="J125" i="59"/>
  <c r="I127" i="59"/>
  <c r="H127" i="59"/>
  <c r="N121" i="59"/>
  <c r="M121" i="59"/>
  <c r="M120" i="59"/>
  <c r="M119" i="59"/>
  <c r="L121" i="59"/>
  <c r="K121" i="59"/>
  <c r="N120" i="59"/>
  <c r="N119" i="59"/>
  <c r="L120" i="59"/>
  <c r="K120" i="59"/>
  <c r="J119" i="59"/>
  <c r="N117" i="59"/>
  <c r="M117" i="59"/>
  <c r="M116" i="59"/>
  <c r="L117" i="59"/>
  <c r="K117" i="59"/>
  <c r="J117" i="59"/>
  <c r="I117" i="59"/>
  <c r="I116" i="59"/>
  <c r="H117" i="59"/>
  <c r="N115" i="59"/>
  <c r="N114" i="59"/>
  <c r="M115" i="59"/>
  <c r="M114" i="59"/>
  <c r="L115" i="59"/>
  <c r="L114" i="59"/>
  <c r="K115" i="59"/>
  <c r="J115" i="59"/>
  <c r="J114" i="59"/>
  <c r="I115" i="59"/>
  <c r="I114" i="59"/>
  <c r="H115" i="59"/>
  <c r="H114" i="59"/>
  <c r="N113" i="59"/>
  <c r="M113" i="59"/>
  <c r="L113" i="59"/>
  <c r="K113" i="59"/>
  <c r="J113" i="59"/>
  <c r="I113" i="59"/>
  <c r="O113" i="59"/>
  <c r="H113" i="59"/>
  <c r="N112" i="59"/>
  <c r="M112" i="59"/>
  <c r="L112" i="59"/>
  <c r="K112" i="59"/>
  <c r="J112" i="59"/>
  <c r="I112" i="59"/>
  <c r="H112" i="59"/>
  <c r="N111" i="59"/>
  <c r="M111" i="59"/>
  <c r="L111" i="59"/>
  <c r="K111" i="59"/>
  <c r="J111" i="59"/>
  <c r="I111" i="59"/>
  <c r="H111" i="59"/>
  <c r="N110" i="59"/>
  <c r="M110" i="59"/>
  <c r="L110" i="59"/>
  <c r="K110" i="59"/>
  <c r="J110" i="59"/>
  <c r="I110" i="59"/>
  <c r="H110" i="59"/>
  <c r="N109" i="59"/>
  <c r="M109" i="59"/>
  <c r="L109" i="59"/>
  <c r="K109" i="59"/>
  <c r="J109" i="59"/>
  <c r="I109" i="59"/>
  <c r="H109" i="59"/>
  <c r="N104" i="59"/>
  <c r="N103" i="59"/>
  <c r="M104" i="59"/>
  <c r="M103" i="59"/>
  <c r="L104" i="59"/>
  <c r="K104" i="59"/>
  <c r="I103" i="59"/>
  <c r="N100" i="59"/>
  <c r="M100" i="59"/>
  <c r="L100" i="59"/>
  <c r="K100" i="59"/>
  <c r="J100" i="59"/>
  <c r="I100" i="59"/>
  <c r="H100" i="59"/>
  <c r="O100" i="59"/>
  <c r="N99" i="59"/>
  <c r="M99" i="59"/>
  <c r="L99" i="59"/>
  <c r="K99" i="59"/>
  <c r="J99" i="59"/>
  <c r="I99" i="59"/>
  <c r="H99" i="59"/>
  <c r="N98" i="59"/>
  <c r="M98" i="59"/>
  <c r="L98" i="59"/>
  <c r="K98" i="59"/>
  <c r="J98" i="59"/>
  <c r="I98" i="59"/>
  <c r="H98" i="59"/>
  <c r="N97" i="59"/>
  <c r="M97" i="59"/>
  <c r="L97" i="59"/>
  <c r="K97" i="59"/>
  <c r="J97" i="59"/>
  <c r="I97" i="59"/>
  <c r="H97" i="59"/>
  <c r="N96" i="59"/>
  <c r="M96" i="59"/>
  <c r="L96" i="59"/>
  <c r="K96" i="59"/>
  <c r="J96" i="59"/>
  <c r="I96" i="59"/>
  <c r="H96" i="59"/>
  <c r="N95" i="59"/>
  <c r="M95" i="59"/>
  <c r="L95" i="59"/>
  <c r="K95" i="59"/>
  <c r="J95" i="59"/>
  <c r="I95" i="59"/>
  <c r="H95" i="59"/>
  <c r="N93" i="59"/>
  <c r="M93" i="59"/>
  <c r="L93" i="59"/>
  <c r="K93" i="59"/>
  <c r="J93" i="59"/>
  <c r="I93" i="59"/>
  <c r="H93" i="59"/>
  <c r="N92" i="59"/>
  <c r="M92" i="59"/>
  <c r="L92" i="59"/>
  <c r="K92" i="59"/>
  <c r="J92" i="59"/>
  <c r="I92" i="59"/>
  <c r="H92" i="59"/>
  <c r="N91" i="59"/>
  <c r="M91" i="59"/>
  <c r="L91" i="59"/>
  <c r="L90" i="59"/>
  <c r="K91" i="59"/>
  <c r="J91" i="59"/>
  <c r="I91" i="59"/>
  <c r="H91" i="59"/>
  <c r="H90" i="59"/>
  <c r="N89" i="59"/>
  <c r="M89" i="59"/>
  <c r="L89" i="59"/>
  <c r="K89" i="59"/>
  <c r="K87" i="59"/>
  <c r="K88" i="59"/>
  <c r="K86" i="59"/>
  <c r="J89" i="59"/>
  <c r="I89" i="59"/>
  <c r="H89" i="59"/>
  <c r="N88" i="59"/>
  <c r="M88" i="59"/>
  <c r="L88" i="59"/>
  <c r="J88" i="59"/>
  <c r="I88" i="59"/>
  <c r="H88" i="59"/>
  <c r="N87" i="59"/>
  <c r="M87" i="59"/>
  <c r="L87" i="59"/>
  <c r="J87" i="59"/>
  <c r="I87" i="59"/>
  <c r="H87" i="59"/>
  <c r="N85" i="59"/>
  <c r="M85" i="59"/>
  <c r="L85" i="59"/>
  <c r="K85" i="59"/>
  <c r="J85" i="59"/>
  <c r="I85" i="59"/>
  <c r="O85" i="59"/>
  <c r="H85" i="59"/>
  <c r="N84" i="59"/>
  <c r="M84" i="59"/>
  <c r="L84" i="59"/>
  <c r="K84" i="59"/>
  <c r="J84" i="59"/>
  <c r="I84" i="59"/>
  <c r="O84" i="59"/>
  <c r="H84" i="59"/>
  <c r="N83" i="59"/>
  <c r="M83" i="59"/>
  <c r="L83" i="59"/>
  <c r="K83" i="59"/>
  <c r="J83" i="59"/>
  <c r="I83" i="59"/>
  <c r="H83" i="59"/>
  <c r="N82" i="59"/>
  <c r="M82" i="59"/>
  <c r="L82" i="59"/>
  <c r="K82" i="59"/>
  <c r="J82" i="59"/>
  <c r="I82" i="59"/>
  <c r="H82" i="59"/>
  <c r="N81" i="59"/>
  <c r="M81" i="59"/>
  <c r="L81" i="59"/>
  <c r="K81" i="59"/>
  <c r="J81" i="59"/>
  <c r="I81" i="59"/>
  <c r="H81" i="59"/>
  <c r="O81" i="59"/>
  <c r="N79" i="59"/>
  <c r="M79" i="59"/>
  <c r="M78" i="59"/>
  <c r="M77" i="59"/>
  <c r="L79" i="59"/>
  <c r="K79" i="59"/>
  <c r="J79" i="59"/>
  <c r="I79" i="59"/>
  <c r="I78" i="59"/>
  <c r="I77" i="59"/>
  <c r="H79" i="59"/>
  <c r="N78" i="59"/>
  <c r="N77" i="59"/>
  <c r="L78" i="59"/>
  <c r="K78" i="59"/>
  <c r="J78" i="59"/>
  <c r="J77" i="59"/>
  <c r="H78" i="59"/>
  <c r="N76" i="59"/>
  <c r="M76" i="59"/>
  <c r="L76" i="59"/>
  <c r="K76" i="59"/>
  <c r="J76" i="59"/>
  <c r="I76" i="59"/>
  <c r="H76" i="59"/>
  <c r="N75" i="59"/>
  <c r="M75" i="59"/>
  <c r="L75" i="59"/>
  <c r="K75" i="59"/>
  <c r="J75" i="59"/>
  <c r="I75" i="59"/>
  <c r="O75" i="59"/>
  <c r="H75" i="59"/>
  <c r="N74" i="59"/>
  <c r="M74" i="59"/>
  <c r="L74" i="59"/>
  <c r="K74" i="59"/>
  <c r="J74" i="59"/>
  <c r="I74" i="59"/>
  <c r="H74" i="59"/>
  <c r="N73" i="59"/>
  <c r="M73" i="59"/>
  <c r="L73" i="59"/>
  <c r="K73" i="59"/>
  <c r="J73" i="59"/>
  <c r="I73" i="59"/>
  <c r="H73" i="59"/>
  <c r="N72" i="59"/>
  <c r="M72" i="59"/>
  <c r="L72" i="59"/>
  <c r="K72" i="59"/>
  <c r="J72" i="59"/>
  <c r="I72" i="59"/>
  <c r="H72" i="59"/>
  <c r="N69" i="59"/>
  <c r="M69" i="59"/>
  <c r="L69" i="59"/>
  <c r="K69" i="59"/>
  <c r="J69" i="59"/>
  <c r="I69" i="59"/>
  <c r="H69" i="59"/>
  <c r="N68" i="59"/>
  <c r="M68" i="59"/>
  <c r="L68" i="59"/>
  <c r="K68" i="59"/>
  <c r="J68" i="59"/>
  <c r="I68" i="59"/>
  <c r="O68" i="59"/>
  <c r="H68" i="59"/>
  <c r="N67" i="59"/>
  <c r="M67" i="59"/>
  <c r="L67" i="59"/>
  <c r="K67" i="59"/>
  <c r="J67" i="59"/>
  <c r="I67" i="59"/>
  <c r="H67" i="59"/>
  <c r="N66" i="59"/>
  <c r="M66" i="59"/>
  <c r="L66" i="59"/>
  <c r="K66" i="59"/>
  <c r="J66" i="59"/>
  <c r="I66" i="59"/>
  <c r="H66" i="59"/>
  <c r="N65" i="59"/>
  <c r="M65" i="59"/>
  <c r="L65" i="59"/>
  <c r="K65" i="59"/>
  <c r="J65" i="59"/>
  <c r="I65" i="59"/>
  <c r="H65" i="59"/>
  <c r="O65" i="59"/>
  <c r="N64" i="59"/>
  <c r="M64" i="59"/>
  <c r="L64" i="59"/>
  <c r="K64" i="59"/>
  <c r="J64" i="59"/>
  <c r="I64" i="59"/>
  <c r="H64" i="59"/>
  <c r="N62" i="59"/>
  <c r="M62" i="59"/>
  <c r="L62" i="59"/>
  <c r="K62" i="59"/>
  <c r="J62" i="59"/>
  <c r="I62" i="59"/>
  <c r="O62" i="59"/>
  <c r="H62" i="59"/>
  <c r="N61" i="59"/>
  <c r="M61" i="59"/>
  <c r="L61" i="59"/>
  <c r="K61" i="59"/>
  <c r="J61" i="59"/>
  <c r="I61" i="59"/>
  <c r="H61" i="59"/>
  <c r="N60" i="59"/>
  <c r="M60" i="59"/>
  <c r="L60" i="59"/>
  <c r="K60" i="59"/>
  <c r="J60" i="59"/>
  <c r="I60" i="59"/>
  <c r="O60" i="59"/>
  <c r="H60" i="59"/>
  <c r="N59" i="59"/>
  <c r="M59" i="59"/>
  <c r="L59" i="59"/>
  <c r="K59" i="59"/>
  <c r="K57" i="59"/>
  <c r="K58" i="59"/>
  <c r="K56" i="59"/>
  <c r="J59" i="59"/>
  <c r="I59" i="59"/>
  <c r="H59" i="59"/>
  <c r="N58" i="59"/>
  <c r="M58" i="59"/>
  <c r="L58" i="59"/>
  <c r="J58" i="59"/>
  <c r="I58" i="59"/>
  <c r="H58" i="59"/>
  <c r="N57" i="59"/>
  <c r="M57" i="59"/>
  <c r="L57" i="59"/>
  <c r="J57" i="59"/>
  <c r="I57" i="59"/>
  <c r="H57" i="59"/>
  <c r="N55" i="59"/>
  <c r="M55" i="59"/>
  <c r="L55" i="59"/>
  <c r="K55" i="59"/>
  <c r="J55" i="59"/>
  <c r="I55" i="59"/>
  <c r="H55" i="59"/>
  <c r="N54" i="59"/>
  <c r="M54" i="59"/>
  <c r="L54" i="59"/>
  <c r="K54" i="59"/>
  <c r="J54" i="59"/>
  <c r="I54" i="59"/>
  <c r="H54" i="59"/>
  <c r="N53" i="59"/>
  <c r="M53" i="59"/>
  <c r="L53" i="59"/>
  <c r="K53" i="59"/>
  <c r="J53" i="59"/>
  <c r="I53" i="59"/>
  <c r="O53" i="59"/>
  <c r="H53" i="59"/>
  <c r="N52" i="59"/>
  <c r="M52" i="59"/>
  <c r="L52" i="59"/>
  <c r="K52" i="59"/>
  <c r="J52" i="59"/>
  <c r="I52" i="59"/>
  <c r="H52" i="59"/>
  <c r="N51" i="59"/>
  <c r="M51" i="59"/>
  <c r="L51" i="59"/>
  <c r="K51" i="59"/>
  <c r="J51" i="59"/>
  <c r="I51" i="59"/>
  <c r="H51" i="59"/>
  <c r="O51" i="59"/>
  <c r="N50" i="59"/>
  <c r="M50" i="59"/>
  <c r="L50" i="59"/>
  <c r="K50" i="59"/>
  <c r="J50" i="59"/>
  <c r="I50" i="59"/>
  <c r="H50" i="59"/>
  <c r="N49" i="59"/>
  <c r="M49" i="59"/>
  <c r="L49" i="59"/>
  <c r="K49" i="59"/>
  <c r="J49" i="59"/>
  <c r="I49" i="59"/>
  <c r="H49" i="59"/>
  <c r="N48" i="59"/>
  <c r="M48" i="59"/>
  <c r="L48" i="59"/>
  <c r="K48" i="59"/>
  <c r="J48" i="59"/>
  <c r="I48" i="59"/>
  <c r="H48" i="59"/>
  <c r="N46" i="59"/>
  <c r="N45" i="59"/>
  <c r="M46" i="59"/>
  <c r="M45" i="59"/>
  <c r="L46" i="59"/>
  <c r="L45" i="59"/>
  <c r="K46" i="59"/>
  <c r="J46" i="59"/>
  <c r="J45" i="59"/>
  <c r="I46" i="59"/>
  <c r="I45" i="59"/>
  <c r="H46" i="59"/>
  <c r="O46" i="59"/>
  <c r="O45" i="59"/>
  <c r="N44" i="59"/>
  <c r="M44" i="59"/>
  <c r="L44" i="59"/>
  <c r="K44" i="59"/>
  <c r="J44" i="59"/>
  <c r="I44" i="59"/>
  <c r="H44" i="59"/>
  <c r="N43" i="59"/>
  <c r="M43" i="59"/>
  <c r="L43" i="59"/>
  <c r="K43" i="59"/>
  <c r="J43" i="59"/>
  <c r="I43" i="59"/>
  <c r="H43" i="59"/>
  <c r="N42" i="59"/>
  <c r="M42" i="59"/>
  <c r="L42" i="59"/>
  <c r="K42" i="59"/>
  <c r="J42" i="59"/>
  <c r="I42" i="59"/>
  <c r="H42" i="59"/>
  <c r="N41" i="59"/>
  <c r="M41" i="59"/>
  <c r="L41" i="59"/>
  <c r="K41" i="59"/>
  <c r="J41" i="59"/>
  <c r="I41" i="59"/>
  <c r="H41" i="59"/>
  <c r="O41" i="59"/>
  <c r="N40" i="59"/>
  <c r="M40" i="59"/>
  <c r="L40" i="59"/>
  <c r="K40" i="59"/>
  <c r="J40" i="59"/>
  <c r="I40" i="59"/>
  <c r="H40" i="59"/>
  <c r="N39" i="59"/>
  <c r="M39" i="59"/>
  <c r="L39" i="59"/>
  <c r="K39" i="59"/>
  <c r="J39" i="59"/>
  <c r="I39" i="59"/>
  <c r="H39" i="59"/>
  <c r="N38" i="59"/>
  <c r="M38" i="59"/>
  <c r="L38" i="59"/>
  <c r="K38" i="59"/>
  <c r="J38" i="59"/>
  <c r="I38" i="59"/>
  <c r="H38" i="59"/>
  <c r="N35" i="59"/>
  <c r="M35" i="59"/>
  <c r="L35" i="59"/>
  <c r="K35" i="59"/>
  <c r="J35" i="59"/>
  <c r="I35" i="59"/>
  <c r="H35" i="59"/>
  <c r="O35" i="59"/>
  <c r="N34" i="59"/>
  <c r="M34" i="59"/>
  <c r="L34" i="59"/>
  <c r="K34" i="59"/>
  <c r="J34" i="59"/>
  <c r="I34" i="59"/>
  <c r="H34" i="59"/>
  <c r="N33" i="59"/>
  <c r="N32" i="59"/>
  <c r="M33" i="59"/>
  <c r="L33" i="59"/>
  <c r="K33" i="59"/>
  <c r="J33" i="59"/>
  <c r="J32" i="59"/>
  <c r="I33" i="59"/>
  <c r="H33" i="59"/>
  <c r="N31" i="59"/>
  <c r="M31" i="59"/>
  <c r="L31" i="59"/>
  <c r="K31" i="59"/>
  <c r="K30" i="59"/>
  <c r="K29" i="59"/>
  <c r="J31" i="59"/>
  <c r="I31" i="59"/>
  <c r="H31" i="59"/>
  <c r="N30" i="59"/>
  <c r="M30" i="59"/>
  <c r="L30" i="59"/>
  <c r="L29" i="59"/>
  <c r="J30" i="59"/>
  <c r="I30" i="59"/>
  <c r="H30" i="59"/>
  <c r="N25" i="59"/>
  <c r="M25" i="59"/>
  <c r="L25" i="59"/>
  <c r="K25" i="59"/>
  <c r="J25" i="59"/>
  <c r="I25" i="59"/>
  <c r="H25" i="59"/>
  <c r="N24" i="59"/>
  <c r="M24" i="59"/>
  <c r="L24" i="59"/>
  <c r="K24" i="59"/>
  <c r="J24" i="59"/>
  <c r="I24" i="59"/>
  <c r="H24" i="59"/>
  <c r="N23" i="59"/>
  <c r="M23" i="59"/>
  <c r="L23" i="59"/>
  <c r="K23" i="59"/>
  <c r="J23" i="59"/>
  <c r="I23" i="59"/>
  <c r="H23" i="59"/>
  <c r="N22" i="59"/>
  <c r="M22" i="59"/>
  <c r="L22" i="59"/>
  <c r="K22" i="59"/>
  <c r="J22" i="59"/>
  <c r="I22" i="59"/>
  <c r="H22" i="59"/>
  <c r="O22" i="59"/>
  <c r="N21" i="59"/>
  <c r="M21" i="59"/>
  <c r="L21" i="59"/>
  <c r="K21" i="59"/>
  <c r="J21" i="59"/>
  <c r="I21" i="59"/>
  <c r="H21" i="59"/>
  <c r="N20" i="59"/>
  <c r="M20" i="59"/>
  <c r="L20" i="59"/>
  <c r="K20" i="59"/>
  <c r="J20" i="59"/>
  <c r="I20" i="59"/>
  <c r="H20" i="59"/>
  <c r="N19" i="59"/>
  <c r="M19" i="59"/>
  <c r="L19" i="59"/>
  <c r="K19" i="59"/>
  <c r="J19" i="59"/>
  <c r="I19" i="59"/>
  <c r="H19" i="59"/>
  <c r="N18" i="59"/>
  <c r="M18" i="59"/>
  <c r="L18" i="59"/>
  <c r="K18" i="59"/>
  <c r="J18" i="59"/>
  <c r="I18" i="59"/>
  <c r="H18" i="59"/>
  <c r="H17" i="59"/>
  <c r="N14" i="59"/>
  <c r="M14" i="59"/>
  <c r="L14" i="59"/>
  <c r="K14" i="59"/>
  <c r="J14" i="59"/>
  <c r="I14" i="59"/>
  <c r="O14" i="59"/>
  <c r="H14" i="59"/>
  <c r="N13" i="59"/>
  <c r="M13" i="59"/>
  <c r="L13" i="59"/>
  <c r="K13" i="59"/>
  <c r="J13" i="59"/>
  <c r="I13" i="59"/>
  <c r="H13" i="59"/>
  <c r="N12" i="59"/>
  <c r="M12" i="59"/>
  <c r="L12" i="59"/>
  <c r="K12" i="59"/>
  <c r="J12" i="59"/>
  <c r="I12" i="59"/>
  <c r="I10" i="59"/>
  <c r="I11" i="59"/>
  <c r="I9" i="59"/>
  <c r="I8" i="59"/>
  <c r="H12" i="59"/>
  <c r="N11" i="59"/>
  <c r="M11" i="59"/>
  <c r="L11" i="59"/>
  <c r="K11" i="59"/>
  <c r="J11" i="59"/>
  <c r="H11" i="59"/>
  <c r="O11" i="59"/>
  <c r="N10" i="59"/>
  <c r="M10" i="59"/>
  <c r="L10" i="59"/>
  <c r="K10" i="59"/>
  <c r="J10" i="59"/>
  <c r="H10" i="59"/>
  <c r="N220" i="57"/>
  <c r="M220" i="57"/>
  <c r="L220" i="57"/>
  <c r="K220" i="57"/>
  <c r="J220" i="57"/>
  <c r="H220" i="57"/>
  <c r="I220" i="57"/>
  <c r="O220" i="57"/>
  <c r="N218" i="57"/>
  <c r="M218" i="57"/>
  <c r="L218" i="57"/>
  <c r="K218" i="57"/>
  <c r="J218" i="57"/>
  <c r="I218" i="57"/>
  <c r="H218" i="57"/>
  <c r="O218" i="57"/>
  <c r="N215" i="57"/>
  <c r="M215" i="57"/>
  <c r="L215" i="57"/>
  <c r="K215" i="57"/>
  <c r="J215" i="57"/>
  <c r="I215" i="57"/>
  <c r="H215" i="57"/>
  <c r="N213" i="57"/>
  <c r="M213" i="57"/>
  <c r="L213" i="57"/>
  <c r="K213" i="57"/>
  <c r="J213" i="57"/>
  <c r="I213" i="57"/>
  <c r="H213" i="57"/>
  <c r="N209" i="57"/>
  <c r="M209" i="57"/>
  <c r="L209" i="57"/>
  <c r="K209" i="57"/>
  <c r="J209" i="57"/>
  <c r="H209" i="57"/>
  <c r="I209" i="57"/>
  <c r="O209" i="57"/>
  <c r="N207" i="57"/>
  <c r="M207" i="57"/>
  <c r="M204" i="57"/>
  <c r="L207" i="57"/>
  <c r="K207" i="57"/>
  <c r="J207" i="57"/>
  <c r="I207" i="57"/>
  <c r="I204" i="57"/>
  <c r="H207" i="57"/>
  <c r="N203" i="57"/>
  <c r="M203" i="57"/>
  <c r="L203" i="57"/>
  <c r="K203" i="57"/>
  <c r="J203" i="57"/>
  <c r="I203" i="57"/>
  <c r="H203" i="57"/>
  <c r="O203" i="57"/>
  <c r="N201" i="57"/>
  <c r="M201" i="57"/>
  <c r="L201" i="57"/>
  <c r="K201" i="57"/>
  <c r="J201" i="57"/>
  <c r="I201" i="57"/>
  <c r="H201" i="57"/>
  <c r="O201" i="57"/>
  <c r="N198" i="57"/>
  <c r="M198" i="57"/>
  <c r="L198" i="57"/>
  <c r="K198" i="57"/>
  <c r="J198" i="57"/>
  <c r="H198" i="57"/>
  <c r="I198" i="57"/>
  <c r="O198" i="57"/>
  <c r="N196" i="57"/>
  <c r="M196" i="57"/>
  <c r="L196" i="57"/>
  <c r="K196" i="57"/>
  <c r="J196" i="57"/>
  <c r="I196" i="57"/>
  <c r="H196" i="57"/>
  <c r="O196" i="57"/>
  <c r="N193" i="57"/>
  <c r="M193" i="57"/>
  <c r="L193" i="57"/>
  <c r="K193" i="57"/>
  <c r="J193" i="57"/>
  <c r="I193" i="57"/>
  <c r="H193" i="57"/>
  <c r="O193" i="57"/>
  <c r="N191" i="57"/>
  <c r="M191" i="57"/>
  <c r="L191" i="57"/>
  <c r="K191" i="57"/>
  <c r="J191" i="57"/>
  <c r="I191" i="57"/>
  <c r="H191" i="57"/>
  <c r="N186" i="57"/>
  <c r="M186" i="57"/>
  <c r="L186" i="57"/>
  <c r="K186" i="57"/>
  <c r="J186" i="57"/>
  <c r="H186" i="57"/>
  <c r="I186" i="57"/>
  <c r="O186" i="57"/>
  <c r="N185" i="57"/>
  <c r="M185" i="57"/>
  <c r="L185" i="57"/>
  <c r="K185" i="57"/>
  <c r="J185" i="57"/>
  <c r="I185" i="57"/>
  <c r="H185" i="57"/>
  <c r="O185" i="57"/>
  <c r="N183" i="57"/>
  <c r="M183" i="57"/>
  <c r="L183" i="57"/>
  <c r="K183" i="57"/>
  <c r="J183" i="57"/>
  <c r="I183" i="57"/>
  <c r="H183" i="57"/>
  <c r="N181" i="57"/>
  <c r="M181" i="57"/>
  <c r="L181" i="57"/>
  <c r="K181" i="57"/>
  <c r="J181" i="57"/>
  <c r="I181" i="57"/>
  <c r="H181" i="57"/>
  <c r="O181" i="57"/>
  <c r="N178" i="57"/>
  <c r="M178" i="57"/>
  <c r="L178" i="57"/>
  <c r="K178" i="57"/>
  <c r="J178" i="57"/>
  <c r="H178" i="57"/>
  <c r="I178" i="57"/>
  <c r="O178" i="57"/>
  <c r="N177" i="57"/>
  <c r="M177" i="57"/>
  <c r="L177" i="57"/>
  <c r="K177" i="57"/>
  <c r="J177" i="57"/>
  <c r="I177" i="57"/>
  <c r="H177" i="57"/>
  <c r="N175" i="57"/>
  <c r="M175" i="57"/>
  <c r="L175" i="57"/>
  <c r="K175" i="57"/>
  <c r="J175" i="57"/>
  <c r="I175" i="57"/>
  <c r="H175" i="57"/>
  <c r="O175" i="57"/>
  <c r="N173" i="57"/>
  <c r="M173" i="57"/>
  <c r="L173" i="57"/>
  <c r="K173" i="57"/>
  <c r="J173" i="57"/>
  <c r="I173" i="57"/>
  <c r="H173" i="57"/>
  <c r="O173" i="57"/>
  <c r="N172" i="57"/>
  <c r="M172" i="57"/>
  <c r="L172" i="57"/>
  <c r="K172" i="57"/>
  <c r="J172" i="57"/>
  <c r="H172" i="57"/>
  <c r="I172" i="57"/>
  <c r="O172" i="57"/>
  <c r="N171" i="57"/>
  <c r="M171" i="57"/>
  <c r="L171" i="57"/>
  <c r="K171" i="57"/>
  <c r="J171" i="57"/>
  <c r="I171" i="57"/>
  <c r="H171" i="57"/>
  <c r="O171" i="57"/>
  <c r="N152" i="57"/>
  <c r="M152" i="57"/>
  <c r="M151" i="57"/>
  <c r="M150" i="57"/>
  <c r="L152" i="57"/>
  <c r="K152" i="57"/>
  <c r="J152" i="57"/>
  <c r="I152" i="57"/>
  <c r="I151" i="57"/>
  <c r="I150" i="57"/>
  <c r="H152" i="57"/>
  <c r="O152" i="57"/>
  <c r="N151" i="57"/>
  <c r="L151" i="57"/>
  <c r="K151" i="57"/>
  <c r="K150" i="57"/>
  <c r="J151" i="57"/>
  <c r="H151" i="57"/>
  <c r="O151" i="57"/>
  <c r="M145" i="57"/>
  <c r="I145" i="57"/>
  <c r="L145" i="57"/>
  <c r="K145" i="57"/>
  <c r="H145" i="57"/>
  <c r="N144" i="57"/>
  <c r="M144" i="57"/>
  <c r="L144" i="57"/>
  <c r="K144" i="57"/>
  <c r="J144" i="57"/>
  <c r="I144" i="57"/>
  <c r="H144" i="57"/>
  <c r="N143" i="57"/>
  <c r="M143" i="57"/>
  <c r="L143" i="57"/>
  <c r="K143" i="57"/>
  <c r="J143" i="57"/>
  <c r="H143" i="57"/>
  <c r="I143" i="57"/>
  <c r="O143" i="57"/>
  <c r="N142" i="57"/>
  <c r="M142" i="57"/>
  <c r="L142" i="57"/>
  <c r="K142" i="57"/>
  <c r="J142" i="57"/>
  <c r="I142" i="57"/>
  <c r="H142" i="57"/>
  <c r="N141" i="57"/>
  <c r="M141" i="57"/>
  <c r="L141" i="57"/>
  <c r="L139" i="57"/>
  <c r="L140" i="57"/>
  <c r="L138" i="57"/>
  <c r="K141" i="57"/>
  <c r="J141" i="57"/>
  <c r="I141" i="57"/>
  <c r="H141" i="57"/>
  <c r="O141" i="57"/>
  <c r="N140" i="57"/>
  <c r="M140" i="57"/>
  <c r="K140" i="57"/>
  <c r="K139" i="57"/>
  <c r="K138" i="57"/>
  <c r="J140" i="57"/>
  <c r="I140" i="57"/>
  <c r="H140" i="57"/>
  <c r="N139" i="57"/>
  <c r="N138" i="57"/>
  <c r="M139" i="57"/>
  <c r="J139" i="57"/>
  <c r="J138" i="57"/>
  <c r="I139" i="57"/>
  <c r="H139" i="57"/>
  <c r="N137" i="57"/>
  <c r="M137" i="57"/>
  <c r="L137" i="57"/>
  <c r="K137" i="57"/>
  <c r="J137" i="57"/>
  <c r="I137" i="57"/>
  <c r="H137" i="57"/>
  <c r="N136" i="57"/>
  <c r="M136" i="57"/>
  <c r="L136" i="57"/>
  <c r="L133" i="57"/>
  <c r="L134" i="57"/>
  <c r="L135" i="57"/>
  <c r="L132" i="57"/>
  <c r="K136" i="57"/>
  <c r="J136" i="57"/>
  <c r="I136" i="57"/>
  <c r="H136" i="57"/>
  <c r="O136" i="57"/>
  <c r="N135" i="57"/>
  <c r="M135" i="57"/>
  <c r="K135" i="57"/>
  <c r="K133" i="57"/>
  <c r="K134" i="57"/>
  <c r="K132" i="57"/>
  <c r="J135" i="57"/>
  <c r="I135" i="57"/>
  <c r="H135" i="57"/>
  <c r="N134" i="57"/>
  <c r="M134" i="57"/>
  <c r="J134" i="57"/>
  <c r="J133" i="57"/>
  <c r="J132" i="57"/>
  <c r="I134" i="57"/>
  <c r="H134" i="57"/>
  <c r="N133" i="57"/>
  <c r="M133" i="57"/>
  <c r="M132" i="57"/>
  <c r="I133" i="57"/>
  <c r="I132" i="57"/>
  <c r="H133" i="57"/>
  <c r="N129" i="57"/>
  <c r="M129" i="57"/>
  <c r="L129" i="57"/>
  <c r="L127" i="57"/>
  <c r="L128" i="57"/>
  <c r="L126" i="57"/>
  <c r="L125" i="57"/>
  <c r="K129" i="57"/>
  <c r="J129" i="57"/>
  <c r="I129" i="57"/>
  <c r="H129" i="57"/>
  <c r="O129" i="57"/>
  <c r="N128" i="57"/>
  <c r="M128" i="57"/>
  <c r="K128" i="57"/>
  <c r="K127" i="57"/>
  <c r="K126" i="57"/>
  <c r="K125" i="57"/>
  <c r="J128" i="57"/>
  <c r="I128" i="57"/>
  <c r="H128" i="57"/>
  <c r="O128" i="57"/>
  <c r="N127" i="57"/>
  <c r="N126" i="57"/>
  <c r="N125" i="57"/>
  <c r="M127" i="57"/>
  <c r="J127" i="57"/>
  <c r="J126" i="57"/>
  <c r="J125" i="57"/>
  <c r="I127" i="57"/>
  <c r="H127" i="57"/>
  <c r="N121" i="57"/>
  <c r="M121" i="57"/>
  <c r="L121" i="57"/>
  <c r="L120" i="57"/>
  <c r="L119" i="57"/>
  <c r="K121" i="57"/>
  <c r="K120" i="57"/>
  <c r="K119" i="57"/>
  <c r="N120" i="57"/>
  <c r="N119" i="57"/>
  <c r="M120" i="57"/>
  <c r="J119" i="57"/>
  <c r="N117" i="57"/>
  <c r="N116" i="57"/>
  <c r="M117" i="57"/>
  <c r="M116" i="57"/>
  <c r="L117" i="57"/>
  <c r="L116" i="57"/>
  <c r="K117" i="57"/>
  <c r="J117" i="57"/>
  <c r="I117" i="57"/>
  <c r="I116" i="57"/>
  <c r="H117" i="57"/>
  <c r="N115" i="57"/>
  <c r="M115" i="57"/>
  <c r="M114" i="57"/>
  <c r="L115" i="57"/>
  <c r="L114" i="57"/>
  <c r="K115" i="57"/>
  <c r="K114" i="57"/>
  <c r="J115" i="57"/>
  <c r="I115" i="57"/>
  <c r="H115" i="57"/>
  <c r="H114" i="57"/>
  <c r="N113" i="57"/>
  <c r="M113" i="57"/>
  <c r="L113" i="57"/>
  <c r="K113" i="57"/>
  <c r="J113" i="57"/>
  <c r="I113" i="57"/>
  <c r="H113" i="57"/>
  <c r="N112" i="57"/>
  <c r="M112" i="57"/>
  <c r="L112" i="57"/>
  <c r="K112" i="57"/>
  <c r="J112" i="57"/>
  <c r="J109" i="57"/>
  <c r="J110" i="57"/>
  <c r="J111" i="57"/>
  <c r="J108" i="57"/>
  <c r="J114" i="57"/>
  <c r="J107" i="57"/>
  <c r="I112" i="57"/>
  <c r="H112" i="57"/>
  <c r="N111" i="57"/>
  <c r="M111" i="57"/>
  <c r="M109" i="57"/>
  <c r="M110" i="57"/>
  <c r="M108" i="57"/>
  <c r="L111" i="57"/>
  <c r="K111" i="57"/>
  <c r="I111" i="57"/>
  <c r="I109" i="57"/>
  <c r="I110" i="57"/>
  <c r="I108" i="57"/>
  <c r="I114" i="57"/>
  <c r="I107" i="57"/>
  <c r="H111" i="57"/>
  <c r="N110" i="57"/>
  <c r="L110" i="57"/>
  <c r="L109" i="57"/>
  <c r="L108" i="57"/>
  <c r="L107" i="57"/>
  <c r="K110" i="57"/>
  <c r="H110" i="57"/>
  <c r="H109" i="57"/>
  <c r="H108" i="57"/>
  <c r="H107" i="57"/>
  <c r="N109" i="57"/>
  <c r="K109" i="57"/>
  <c r="K108" i="57"/>
  <c r="N104" i="57"/>
  <c r="N103" i="57"/>
  <c r="M104" i="57"/>
  <c r="M103" i="57"/>
  <c r="L104" i="57"/>
  <c r="K104" i="57"/>
  <c r="J103" i="57"/>
  <c r="I103" i="57"/>
  <c r="N100" i="57"/>
  <c r="M100" i="57"/>
  <c r="L100" i="57"/>
  <c r="K100" i="57"/>
  <c r="J100" i="57"/>
  <c r="I100" i="57"/>
  <c r="H100" i="57"/>
  <c r="O100" i="57"/>
  <c r="N99" i="57"/>
  <c r="M99" i="57"/>
  <c r="L99" i="57"/>
  <c r="K99" i="57"/>
  <c r="J99" i="57"/>
  <c r="I99" i="57"/>
  <c r="H99" i="57"/>
  <c r="N98" i="57"/>
  <c r="M98" i="57"/>
  <c r="L98" i="57"/>
  <c r="K98" i="57"/>
  <c r="J98" i="57"/>
  <c r="J95" i="57"/>
  <c r="J96" i="57"/>
  <c r="J97" i="57"/>
  <c r="J94" i="57"/>
  <c r="I98" i="57"/>
  <c r="H98" i="57"/>
  <c r="N97" i="57"/>
  <c r="M97" i="57"/>
  <c r="M95" i="57"/>
  <c r="M96" i="57"/>
  <c r="M94" i="57"/>
  <c r="L97" i="57"/>
  <c r="K97" i="57"/>
  <c r="I97" i="57"/>
  <c r="H97" i="57"/>
  <c r="N96" i="57"/>
  <c r="L96" i="57"/>
  <c r="L95" i="57"/>
  <c r="L94" i="57"/>
  <c r="K96" i="57"/>
  <c r="I96" i="57"/>
  <c r="H96" i="57"/>
  <c r="O96" i="57"/>
  <c r="N95" i="57"/>
  <c r="K95" i="57"/>
  <c r="K94" i="57"/>
  <c r="I95" i="57"/>
  <c r="H95" i="57"/>
  <c r="N93" i="57"/>
  <c r="N91" i="57"/>
  <c r="N92" i="57"/>
  <c r="N90" i="57"/>
  <c r="M93" i="57"/>
  <c r="L93" i="57"/>
  <c r="K93" i="57"/>
  <c r="J93" i="57"/>
  <c r="H93" i="57"/>
  <c r="I93" i="57"/>
  <c r="O93" i="57"/>
  <c r="M92" i="57"/>
  <c r="M91" i="57"/>
  <c r="M90" i="57"/>
  <c r="L92" i="57"/>
  <c r="K92" i="57"/>
  <c r="J92" i="57"/>
  <c r="I92" i="57"/>
  <c r="I91" i="57"/>
  <c r="I90" i="57"/>
  <c r="H92" i="57"/>
  <c r="L91" i="57"/>
  <c r="L90" i="57"/>
  <c r="K91" i="57"/>
  <c r="J91" i="57"/>
  <c r="H91" i="57"/>
  <c r="H90" i="57"/>
  <c r="N89" i="57"/>
  <c r="M89" i="57"/>
  <c r="L89" i="57"/>
  <c r="L87" i="57"/>
  <c r="L88" i="57"/>
  <c r="L86" i="57"/>
  <c r="K89" i="57"/>
  <c r="K87" i="57"/>
  <c r="K88" i="57"/>
  <c r="K86" i="57"/>
  <c r="J89" i="57"/>
  <c r="I89" i="57"/>
  <c r="H89" i="57"/>
  <c r="N88" i="57"/>
  <c r="N87" i="57"/>
  <c r="N86" i="57"/>
  <c r="M88" i="57"/>
  <c r="J88" i="57"/>
  <c r="J87" i="57"/>
  <c r="J86" i="57"/>
  <c r="I88" i="57"/>
  <c r="H88" i="57"/>
  <c r="M87" i="57"/>
  <c r="M86" i="57"/>
  <c r="I87" i="57"/>
  <c r="I86" i="57"/>
  <c r="H87" i="57"/>
  <c r="N85" i="57"/>
  <c r="M85" i="57"/>
  <c r="L85" i="57"/>
  <c r="K85" i="57"/>
  <c r="J85" i="57"/>
  <c r="I85" i="57"/>
  <c r="O85" i="57"/>
  <c r="H85" i="57"/>
  <c r="N84" i="57"/>
  <c r="M84" i="57"/>
  <c r="L84" i="57"/>
  <c r="K84" i="57"/>
  <c r="J84" i="57"/>
  <c r="I84" i="57"/>
  <c r="H84" i="57"/>
  <c r="N83" i="57"/>
  <c r="N81" i="57"/>
  <c r="N82" i="57"/>
  <c r="N80" i="57"/>
  <c r="M83" i="57"/>
  <c r="L83" i="57"/>
  <c r="K83" i="57"/>
  <c r="J83" i="57"/>
  <c r="I83" i="57"/>
  <c r="H83" i="57"/>
  <c r="M82" i="57"/>
  <c r="L82" i="57"/>
  <c r="K82" i="57"/>
  <c r="J82" i="57"/>
  <c r="I82" i="57"/>
  <c r="I81" i="57"/>
  <c r="I80" i="57"/>
  <c r="H82" i="57"/>
  <c r="M81" i="57"/>
  <c r="L81" i="57"/>
  <c r="K81" i="57"/>
  <c r="J81" i="57"/>
  <c r="H81" i="57"/>
  <c r="O81" i="57"/>
  <c r="N79" i="57"/>
  <c r="M79" i="57"/>
  <c r="L79" i="57"/>
  <c r="K79" i="57"/>
  <c r="K78" i="57"/>
  <c r="K77" i="57"/>
  <c r="J79" i="57"/>
  <c r="I79" i="57"/>
  <c r="H79" i="57"/>
  <c r="O79" i="57"/>
  <c r="N78" i="57"/>
  <c r="N77" i="57"/>
  <c r="M78" i="57"/>
  <c r="L78" i="57"/>
  <c r="J78" i="57"/>
  <c r="J77" i="57"/>
  <c r="I78" i="57"/>
  <c r="H78" i="57"/>
  <c r="N76" i="57"/>
  <c r="M76" i="57"/>
  <c r="L76" i="57"/>
  <c r="K76" i="57"/>
  <c r="J76" i="57"/>
  <c r="I76" i="57"/>
  <c r="H76" i="57"/>
  <c r="O76" i="57"/>
  <c r="N75" i="57"/>
  <c r="M75" i="57"/>
  <c r="L75" i="57"/>
  <c r="L72" i="57"/>
  <c r="L73" i="57"/>
  <c r="L74" i="57"/>
  <c r="L71" i="57"/>
  <c r="K75" i="57"/>
  <c r="J75" i="57"/>
  <c r="I75" i="57"/>
  <c r="H75" i="57"/>
  <c r="N74" i="57"/>
  <c r="M74" i="57"/>
  <c r="K74" i="57"/>
  <c r="K72" i="57"/>
  <c r="K73" i="57"/>
  <c r="K71" i="57"/>
  <c r="J74" i="57"/>
  <c r="I74" i="57"/>
  <c r="H74" i="57"/>
  <c r="N73" i="57"/>
  <c r="N72" i="57"/>
  <c r="N71" i="57"/>
  <c r="M73" i="57"/>
  <c r="J73" i="57"/>
  <c r="J72" i="57"/>
  <c r="J71" i="57"/>
  <c r="I73" i="57"/>
  <c r="H73" i="57"/>
  <c r="M72" i="57"/>
  <c r="M71" i="57"/>
  <c r="I72" i="57"/>
  <c r="I71" i="57"/>
  <c r="H72" i="57"/>
  <c r="N69" i="57"/>
  <c r="M69" i="57"/>
  <c r="L69" i="57"/>
  <c r="K69" i="57"/>
  <c r="J69" i="57"/>
  <c r="I69" i="57"/>
  <c r="H69" i="57"/>
  <c r="N68" i="57"/>
  <c r="M68" i="57"/>
  <c r="L68" i="57"/>
  <c r="K68" i="57"/>
  <c r="J68" i="57"/>
  <c r="I68" i="57"/>
  <c r="H68" i="57"/>
  <c r="N67" i="57"/>
  <c r="M67" i="57"/>
  <c r="L67" i="57"/>
  <c r="K67" i="57"/>
  <c r="J67" i="57"/>
  <c r="J64" i="57"/>
  <c r="J65" i="57"/>
  <c r="J66" i="57"/>
  <c r="J63" i="57"/>
  <c r="I67" i="57"/>
  <c r="H67" i="57"/>
  <c r="N66" i="57"/>
  <c r="M66" i="57"/>
  <c r="M64" i="57"/>
  <c r="M65" i="57"/>
  <c r="M63" i="57"/>
  <c r="L66" i="57"/>
  <c r="K66" i="57"/>
  <c r="I66" i="57"/>
  <c r="I64" i="57"/>
  <c r="I65" i="57"/>
  <c r="I63" i="57"/>
  <c r="H66" i="57"/>
  <c r="N65" i="57"/>
  <c r="L65" i="57"/>
  <c r="L64" i="57"/>
  <c r="L63" i="57"/>
  <c r="K65" i="57"/>
  <c r="H65" i="57"/>
  <c r="H64" i="57"/>
  <c r="H63" i="57"/>
  <c r="N64" i="57"/>
  <c r="K64" i="57"/>
  <c r="K63" i="57"/>
  <c r="O64" i="57"/>
  <c r="N62" i="57"/>
  <c r="M62" i="57"/>
  <c r="L62" i="57"/>
  <c r="K62" i="57"/>
  <c r="J62" i="57"/>
  <c r="I62" i="57"/>
  <c r="O62" i="57"/>
  <c r="H62" i="57"/>
  <c r="N61" i="57"/>
  <c r="M61" i="57"/>
  <c r="L61" i="57"/>
  <c r="K61" i="57"/>
  <c r="J61" i="57"/>
  <c r="I61" i="57"/>
  <c r="O61" i="57"/>
  <c r="H61" i="57"/>
  <c r="N60" i="57"/>
  <c r="M60" i="57"/>
  <c r="L60" i="57"/>
  <c r="K60" i="57"/>
  <c r="J60" i="57"/>
  <c r="I60" i="57"/>
  <c r="O60" i="57"/>
  <c r="H60" i="57"/>
  <c r="H14" i="57"/>
  <c r="H53" i="57"/>
  <c r="N223" i="57"/>
  <c r="N59" i="57"/>
  <c r="M59" i="57"/>
  <c r="L59" i="57"/>
  <c r="K59" i="57"/>
  <c r="K57" i="57"/>
  <c r="K58" i="57"/>
  <c r="K56" i="57"/>
  <c r="J59" i="57"/>
  <c r="I59" i="57"/>
  <c r="H59" i="57"/>
  <c r="N58" i="57"/>
  <c r="N57" i="57"/>
  <c r="N56" i="57"/>
  <c r="M58" i="57"/>
  <c r="L58" i="57"/>
  <c r="J58" i="57"/>
  <c r="J57" i="57"/>
  <c r="J56" i="57"/>
  <c r="I58" i="57"/>
  <c r="H58" i="57"/>
  <c r="M57" i="57"/>
  <c r="M56" i="57"/>
  <c r="L57" i="57"/>
  <c r="I57" i="57"/>
  <c r="I56" i="57"/>
  <c r="H57" i="57"/>
  <c r="N55" i="57"/>
  <c r="M55" i="57"/>
  <c r="L55" i="57"/>
  <c r="K55" i="57"/>
  <c r="J55" i="57"/>
  <c r="I55" i="57"/>
  <c r="O55" i="57"/>
  <c r="H55" i="57"/>
  <c r="N54" i="57"/>
  <c r="M54" i="57"/>
  <c r="L54" i="57"/>
  <c r="K54" i="57"/>
  <c r="J54" i="57"/>
  <c r="I54" i="57"/>
  <c r="H54" i="57"/>
  <c r="N53" i="57"/>
  <c r="M53" i="57"/>
  <c r="L53" i="57"/>
  <c r="K53" i="57"/>
  <c r="J53" i="57"/>
  <c r="I53" i="57"/>
  <c r="O53" i="57"/>
  <c r="N52" i="57"/>
  <c r="M52" i="57"/>
  <c r="L52" i="57"/>
  <c r="K52" i="57"/>
  <c r="J52" i="57"/>
  <c r="I52" i="57"/>
  <c r="H52" i="57"/>
  <c r="N51" i="57"/>
  <c r="M51" i="57"/>
  <c r="L51" i="57"/>
  <c r="K51" i="57"/>
  <c r="J51" i="57"/>
  <c r="I51" i="57"/>
  <c r="H51" i="57"/>
  <c r="O51" i="57"/>
  <c r="N50" i="57"/>
  <c r="M50" i="57"/>
  <c r="L50" i="57"/>
  <c r="K50" i="57"/>
  <c r="J50" i="57"/>
  <c r="I50" i="57"/>
  <c r="H50" i="57"/>
  <c r="N49" i="57"/>
  <c r="N48" i="57"/>
  <c r="N47" i="57"/>
  <c r="M49" i="57"/>
  <c r="L49" i="57"/>
  <c r="K49" i="57"/>
  <c r="J49" i="57"/>
  <c r="I49" i="57"/>
  <c r="H49" i="57"/>
  <c r="M48" i="57"/>
  <c r="M47" i="57"/>
  <c r="L48" i="57"/>
  <c r="K48" i="57"/>
  <c r="J48" i="57"/>
  <c r="I48" i="57"/>
  <c r="I47" i="57"/>
  <c r="H48" i="57"/>
  <c r="N46" i="57"/>
  <c r="M46" i="57"/>
  <c r="M45" i="57"/>
  <c r="L46" i="57"/>
  <c r="L45" i="57"/>
  <c r="K46" i="57"/>
  <c r="J46" i="57"/>
  <c r="I46" i="57"/>
  <c r="H46" i="57"/>
  <c r="H45" i="57"/>
  <c r="N44" i="57"/>
  <c r="M44" i="57"/>
  <c r="L44" i="57"/>
  <c r="K44" i="57"/>
  <c r="J44" i="57"/>
  <c r="I44" i="57"/>
  <c r="H44" i="57"/>
  <c r="O44" i="57"/>
  <c r="N43" i="57"/>
  <c r="M43" i="57"/>
  <c r="L43" i="57"/>
  <c r="K43" i="57"/>
  <c r="J43" i="57"/>
  <c r="I43" i="57"/>
  <c r="H43" i="57"/>
  <c r="N42" i="57"/>
  <c r="M42" i="57"/>
  <c r="L42" i="57"/>
  <c r="K42" i="57"/>
  <c r="J42" i="57"/>
  <c r="I42" i="57"/>
  <c r="H42" i="57"/>
  <c r="N41" i="57"/>
  <c r="M41" i="57"/>
  <c r="L41" i="57"/>
  <c r="K41" i="57"/>
  <c r="J41" i="57"/>
  <c r="I41" i="57"/>
  <c r="H41" i="57"/>
  <c r="N40" i="57"/>
  <c r="M40" i="57"/>
  <c r="L40" i="57"/>
  <c r="K40" i="57"/>
  <c r="K38" i="57"/>
  <c r="K39" i="57"/>
  <c r="K37" i="57"/>
  <c r="J40" i="57"/>
  <c r="I40" i="57"/>
  <c r="H40" i="57"/>
  <c r="N39" i="57"/>
  <c r="N38" i="57"/>
  <c r="N37" i="57"/>
  <c r="M39" i="57"/>
  <c r="L39" i="57"/>
  <c r="J39" i="57"/>
  <c r="J38" i="57"/>
  <c r="J37" i="57"/>
  <c r="I39" i="57"/>
  <c r="H39" i="57"/>
  <c r="M38" i="57"/>
  <c r="M37" i="57"/>
  <c r="L38" i="57"/>
  <c r="I38" i="57"/>
  <c r="I37" i="57"/>
  <c r="H38" i="57"/>
  <c r="N35" i="57"/>
  <c r="M35" i="57"/>
  <c r="L35" i="57"/>
  <c r="K35" i="57"/>
  <c r="J35" i="57"/>
  <c r="I35" i="57"/>
  <c r="H35" i="57"/>
  <c r="O35" i="57"/>
  <c r="N34" i="57"/>
  <c r="M34" i="57"/>
  <c r="L34" i="57"/>
  <c r="K34" i="57"/>
  <c r="J34" i="57"/>
  <c r="I34" i="57"/>
  <c r="H34" i="57"/>
  <c r="N33" i="57"/>
  <c r="N32" i="57"/>
  <c r="M33" i="57"/>
  <c r="L33" i="57"/>
  <c r="K33" i="57"/>
  <c r="J33" i="57"/>
  <c r="J32" i="57"/>
  <c r="I33" i="57"/>
  <c r="H33" i="57"/>
  <c r="N31" i="57"/>
  <c r="N30" i="57"/>
  <c r="N29" i="57"/>
  <c r="M31" i="57"/>
  <c r="M30" i="57"/>
  <c r="M29" i="57"/>
  <c r="L31" i="57"/>
  <c r="K31" i="57"/>
  <c r="J31" i="57"/>
  <c r="I31" i="57"/>
  <c r="I30" i="57"/>
  <c r="I29" i="57"/>
  <c r="H31" i="57"/>
  <c r="L30" i="57"/>
  <c r="L29" i="57"/>
  <c r="K30" i="57"/>
  <c r="J30" i="57"/>
  <c r="H30" i="57"/>
  <c r="N25" i="57"/>
  <c r="M25" i="57"/>
  <c r="L25" i="57"/>
  <c r="K25" i="57"/>
  <c r="J25" i="57"/>
  <c r="I25" i="57"/>
  <c r="H25" i="57"/>
  <c r="O25" i="57"/>
  <c r="N24" i="57"/>
  <c r="M24" i="57"/>
  <c r="L24" i="57"/>
  <c r="K24" i="57"/>
  <c r="J24" i="57"/>
  <c r="H24" i="57"/>
  <c r="I24" i="57"/>
  <c r="O24" i="57"/>
  <c r="N23" i="57"/>
  <c r="M23" i="57"/>
  <c r="L23" i="57"/>
  <c r="K23" i="57"/>
  <c r="J23" i="57"/>
  <c r="I23" i="57"/>
  <c r="H23" i="57"/>
  <c r="N22" i="57"/>
  <c r="M22" i="57"/>
  <c r="L22" i="57"/>
  <c r="K22" i="57"/>
  <c r="J22" i="57"/>
  <c r="I22" i="57"/>
  <c r="H22" i="57"/>
  <c r="O22" i="57"/>
  <c r="N21" i="57"/>
  <c r="M21" i="57"/>
  <c r="L21" i="57"/>
  <c r="K21" i="57"/>
  <c r="K18" i="57"/>
  <c r="K19" i="57"/>
  <c r="K20" i="57"/>
  <c r="K17" i="57"/>
  <c r="J21" i="57"/>
  <c r="I21" i="57"/>
  <c r="H21" i="57"/>
  <c r="N20" i="57"/>
  <c r="N18" i="57"/>
  <c r="N19" i="57"/>
  <c r="N17" i="57"/>
  <c r="M20" i="57"/>
  <c r="L20" i="57"/>
  <c r="J20" i="57"/>
  <c r="J18" i="57"/>
  <c r="J19" i="57"/>
  <c r="J17" i="57"/>
  <c r="I20" i="57"/>
  <c r="H20" i="57"/>
  <c r="M19" i="57"/>
  <c r="M18" i="57"/>
  <c r="M17" i="57"/>
  <c r="L19" i="57"/>
  <c r="I19" i="57"/>
  <c r="I18" i="57"/>
  <c r="I17" i="57"/>
  <c r="H19" i="57"/>
  <c r="L18" i="57"/>
  <c r="L17" i="57"/>
  <c r="H18" i="57"/>
  <c r="N14" i="57"/>
  <c r="M14" i="57"/>
  <c r="L14" i="57"/>
  <c r="K14" i="57"/>
  <c r="J14" i="57"/>
  <c r="I14" i="57"/>
  <c r="N13" i="57"/>
  <c r="N10" i="57"/>
  <c r="N11" i="57"/>
  <c r="N12" i="57"/>
  <c r="N9" i="57"/>
  <c r="N8" i="57"/>
  <c r="M13" i="57"/>
  <c r="L13" i="57"/>
  <c r="K13" i="57"/>
  <c r="J13" i="57"/>
  <c r="I13" i="57"/>
  <c r="H13" i="57"/>
  <c r="M12" i="57"/>
  <c r="M10" i="57"/>
  <c r="M11" i="57"/>
  <c r="M9" i="57"/>
  <c r="M8" i="57"/>
  <c r="L12" i="57"/>
  <c r="K12" i="57"/>
  <c r="J12" i="57"/>
  <c r="I12" i="57"/>
  <c r="I10" i="57"/>
  <c r="I11" i="57"/>
  <c r="I9" i="57"/>
  <c r="I8" i="57"/>
  <c r="H12" i="57"/>
  <c r="L11" i="57"/>
  <c r="L10" i="57"/>
  <c r="L9" i="57"/>
  <c r="L8" i="57"/>
  <c r="K11" i="57"/>
  <c r="J11" i="57"/>
  <c r="H11" i="57"/>
  <c r="H10" i="57"/>
  <c r="H9" i="57"/>
  <c r="H8" i="57"/>
  <c r="K10" i="57"/>
  <c r="J10" i="57"/>
  <c r="N220" i="58"/>
  <c r="M220" i="58"/>
  <c r="L220" i="58"/>
  <c r="K220" i="58"/>
  <c r="J220" i="58"/>
  <c r="H220" i="58"/>
  <c r="I220" i="58"/>
  <c r="O220" i="58"/>
  <c r="N218" i="58"/>
  <c r="M218" i="58"/>
  <c r="L218" i="58"/>
  <c r="K218" i="58"/>
  <c r="J218" i="58"/>
  <c r="I218" i="58"/>
  <c r="H218" i="58"/>
  <c r="N215" i="58"/>
  <c r="M215" i="58"/>
  <c r="L215" i="58"/>
  <c r="L207" i="58"/>
  <c r="L209" i="58"/>
  <c r="L213" i="58"/>
  <c r="L204" i="58"/>
  <c r="K215" i="58"/>
  <c r="J215" i="58"/>
  <c r="I215" i="58"/>
  <c r="H215" i="58"/>
  <c r="O215" i="58"/>
  <c r="N213" i="58"/>
  <c r="M213" i="58"/>
  <c r="K213" i="58"/>
  <c r="K207" i="58"/>
  <c r="K209" i="58"/>
  <c r="K204" i="58"/>
  <c r="J213" i="58"/>
  <c r="I213" i="58"/>
  <c r="H213" i="58"/>
  <c r="N209" i="58"/>
  <c r="N207" i="58"/>
  <c r="N204" i="58"/>
  <c r="M209" i="58"/>
  <c r="J209" i="58"/>
  <c r="J207" i="58"/>
  <c r="J204" i="58"/>
  <c r="I209" i="58"/>
  <c r="H209" i="58"/>
  <c r="M207" i="58"/>
  <c r="M204" i="58"/>
  <c r="I207" i="58"/>
  <c r="I204" i="58"/>
  <c r="H207" i="58"/>
  <c r="N203" i="58"/>
  <c r="M203" i="58"/>
  <c r="L203" i="58"/>
  <c r="K203" i="58"/>
  <c r="J203" i="58"/>
  <c r="I203" i="58"/>
  <c r="H203" i="58"/>
  <c r="O203" i="58"/>
  <c r="N201" i="58"/>
  <c r="M201" i="58"/>
  <c r="L201" i="58"/>
  <c r="K201" i="58"/>
  <c r="J201" i="58"/>
  <c r="I201" i="58"/>
  <c r="H201" i="58"/>
  <c r="N198" i="58"/>
  <c r="N191" i="58"/>
  <c r="N193" i="58"/>
  <c r="N196" i="58"/>
  <c r="N188" i="58"/>
  <c r="M198" i="58"/>
  <c r="L198" i="58"/>
  <c r="K198" i="58"/>
  <c r="J198" i="58"/>
  <c r="H198" i="58"/>
  <c r="I198" i="58"/>
  <c r="O198" i="58"/>
  <c r="M196" i="58"/>
  <c r="M191" i="58"/>
  <c r="M193" i="58"/>
  <c r="M188" i="58"/>
  <c r="L196" i="58"/>
  <c r="K196" i="58"/>
  <c r="J196" i="58"/>
  <c r="I196" i="58"/>
  <c r="H196" i="58"/>
  <c r="O196" i="58"/>
  <c r="L193" i="58"/>
  <c r="L191" i="58"/>
  <c r="L188" i="58"/>
  <c r="K193" i="58"/>
  <c r="J193" i="58"/>
  <c r="I193" i="58"/>
  <c r="H193" i="58"/>
  <c r="O193" i="58"/>
  <c r="K191" i="58"/>
  <c r="K188" i="58"/>
  <c r="J191" i="58"/>
  <c r="I191" i="58"/>
  <c r="H191" i="58"/>
  <c r="N186" i="58"/>
  <c r="M186" i="58"/>
  <c r="L186" i="58"/>
  <c r="K186" i="58"/>
  <c r="J186" i="58"/>
  <c r="I186" i="58"/>
  <c r="H186" i="58"/>
  <c r="N185" i="58"/>
  <c r="M185" i="58"/>
  <c r="L185" i="58"/>
  <c r="K185" i="58"/>
  <c r="J185" i="58"/>
  <c r="I185" i="58"/>
  <c r="H185" i="58"/>
  <c r="O185" i="58"/>
  <c r="N183" i="58"/>
  <c r="M183" i="58"/>
  <c r="L183" i="58"/>
  <c r="K183" i="58"/>
  <c r="J183" i="58"/>
  <c r="I183" i="58"/>
  <c r="H183" i="58"/>
  <c r="O183" i="58"/>
  <c r="N181" i="58"/>
  <c r="M181" i="58"/>
  <c r="L181" i="58"/>
  <c r="K181" i="58"/>
  <c r="J181" i="58"/>
  <c r="I181" i="58"/>
  <c r="H181" i="58"/>
  <c r="O181" i="58"/>
  <c r="N178" i="58"/>
  <c r="M178" i="58"/>
  <c r="L178" i="58"/>
  <c r="K178" i="58"/>
  <c r="J178" i="58"/>
  <c r="H178" i="58"/>
  <c r="I178" i="58"/>
  <c r="O178" i="58"/>
  <c r="N177" i="58"/>
  <c r="M177" i="58"/>
  <c r="L177" i="58"/>
  <c r="K177" i="58"/>
  <c r="J177" i="58"/>
  <c r="I177" i="58"/>
  <c r="H177" i="58"/>
  <c r="N175" i="58"/>
  <c r="M175" i="58"/>
  <c r="L175" i="58"/>
  <c r="L171" i="58"/>
  <c r="L172" i="58"/>
  <c r="L173" i="58"/>
  <c r="L169" i="58"/>
  <c r="L168" i="58"/>
  <c r="L155" i="58"/>
  <c r="L154" i="58"/>
  <c r="L153" i="58"/>
  <c r="K175" i="58"/>
  <c r="J175" i="58"/>
  <c r="I175" i="58"/>
  <c r="H175" i="58"/>
  <c r="O175" i="58"/>
  <c r="N173" i="58"/>
  <c r="M173" i="58"/>
  <c r="K173" i="58"/>
  <c r="K171" i="58"/>
  <c r="K172" i="58"/>
  <c r="K169" i="58"/>
  <c r="K168" i="58"/>
  <c r="K155" i="58"/>
  <c r="K154" i="58"/>
  <c r="K153" i="58"/>
  <c r="J173" i="58"/>
  <c r="I173" i="58"/>
  <c r="H173" i="58"/>
  <c r="N172" i="58"/>
  <c r="N171" i="58"/>
  <c r="N169" i="58"/>
  <c r="M172" i="58"/>
  <c r="J172" i="58"/>
  <c r="J171" i="58"/>
  <c r="J169" i="58"/>
  <c r="I172" i="58"/>
  <c r="H172" i="58"/>
  <c r="M171" i="58"/>
  <c r="M169" i="58"/>
  <c r="M168" i="58"/>
  <c r="M155" i="58"/>
  <c r="M154" i="58"/>
  <c r="M153" i="58"/>
  <c r="I171" i="58"/>
  <c r="H171" i="58"/>
  <c r="N152" i="58"/>
  <c r="M152" i="58"/>
  <c r="L152" i="58"/>
  <c r="L151" i="58"/>
  <c r="L150" i="58"/>
  <c r="K152" i="58"/>
  <c r="J152" i="58"/>
  <c r="I152" i="58"/>
  <c r="H152" i="58"/>
  <c r="H151" i="58"/>
  <c r="H150" i="58"/>
  <c r="N151" i="58"/>
  <c r="M151" i="58"/>
  <c r="K151" i="58"/>
  <c r="K150" i="58"/>
  <c r="J151" i="58"/>
  <c r="I151" i="58"/>
  <c r="N145" i="58"/>
  <c r="J145" i="58"/>
  <c r="M145" i="58"/>
  <c r="L145" i="58"/>
  <c r="H145" i="58"/>
  <c r="N144" i="58"/>
  <c r="M144" i="58"/>
  <c r="L144" i="58"/>
  <c r="K144" i="58"/>
  <c r="J144" i="58"/>
  <c r="I144" i="58"/>
  <c r="H144" i="58"/>
  <c r="N143" i="58"/>
  <c r="M143" i="58"/>
  <c r="L143" i="58"/>
  <c r="K143" i="58"/>
  <c r="J143" i="58"/>
  <c r="I143" i="58"/>
  <c r="H143" i="58"/>
  <c r="N142" i="58"/>
  <c r="M142" i="58"/>
  <c r="M139" i="58"/>
  <c r="M140" i="58"/>
  <c r="M141" i="58"/>
  <c r="M138" i="58"/>
  <c r="L142" i="58"/>
  <c r="K142" i="58"/>
  <c r="J142" i="58"/>
  <c r="I142" i="58"/>
  <c r="H142" i="58"/>
  <c r="N141" i="58"/>
  <c r="L141" i="58"/>
  <c r="K141" i="58"/>
  <c r="J141" i="58"/>
  <c r="I141" i="58"/>
  <c r="H141" i="58"/>
  <c r="N140" i="58"/>
  <c r="L140" i="58"/>
  <c r="K140" i="58"/>
  <c r="J140" i="58"/>
  <c r="I140" i="58"/>
  <c r="H140" i="58"/>
  <c r="N139" i="58"/>
  <c r="L139" i="58"/>
  <c r="K139" i="58"/>
  <c r="J139" i="58"/>
  <c r="I139" i="58"/>
  <c r="H139" i="58"/>
  <c r="N137" i="58"/>
  <c r="M137" i="58"/>
  <c r="L137" i="58"/>
  <c r="K137" i="58"/>
  <c r="J137" i="58"/>
  <c r="I137" i="58"/>
  <c r="H137" i="58"/>
  <c r="N136" i="58"/>
  <c r="M136" i="58"/>
  <c r="L136" i="58"/>
  <c r="K136" i="58"/>
  <c r="J136" i="58"/>
  <c r="I136" i="58"/>
  <c r="H136" i="58"/>
  <c r="N135" i="58"/>
  <c r="M135" i="58"/>
  <c r="L135" i="58"/>
  <c r="K135" i="58"/>
  <c r="J135" i="58"/>
  <c r="I135" i="58"/>
  <c r="H135" i="58"/>
  <c r="O135" i="58"/>
  <c r="N134" i="58"/>
  <c r="N133" i="58"/>
  <c r="N132" i="58"/>
  <c r="M134" i="58"/>
  <c r="L134" i="58"/>
  <c r="K134" i="58"/>
  <c r="J134" i="58"/>
  <c r="I134" i="58"/>
  <c r="H134" i="58"/>
  <c r="M133" i="58"/>
  <c r="L133" i="58"/>
  <c r="K133" i="58"/>
  <c r="J133" i="58"/>
  <c r="I133" i="58"/>
  <c r="O133" i="58"/>
  <c r="H133" i="58"/>
  <c r="N129" i="58"/>
  <c r="M129" i="58"/>
  <c r="M127" i="58"/>
  <c r="M128" i="58"/>
  <c r="M126" i="58"/>
  <c r="M125" i="58"/>
  <c r="L129" i="58"/>
  <c r="K129" i="58"/>
  <c r="J129" i="58"/>
  <c r="I129" i="58"/>
  <c r="I127" i="58"/>
  <c r="I128" i="58"/>
  <c r="I126" i="58"/>
  <c r="H129" i="58"/>
  <c r="N128" i="58"/>
  <c r="L128" i="58"/>
  <c r="K128" i="58"/>
  <c r="J128" i="58"/>
  <c r="H128" i="58"/>
  <c r="N127" i="58"/>
  <c r="L127" i="58"/>
  <c r="K127" i="58"/>
  <c r="J127" i="58"/>
  <c r="H127" i="58"/>
  <c r="N121" i="58"/>
  <c r="M121" i="58"/>
  <c r="L121" i="58"/>
  <c r="L120" i="58"/>
  <c r="L119" i="58"/>
  <c r="K121" i="58"/>
  <c r="H119" i="58"/>
  <c r="N120" i="58"/>
  <c r="M120" i="58"/>
  <c r="K120" i="58"/>
  <c r="N117" i="58"/>
  <c r="M117" i="58"/>
  <c r="L117" i="58"/>
  <c r="L116" i="58"/>
  <c r="K117" i="58"/>
  <c r="K116" i="58"/>
  <c r="J117" i="58"/>
  <c r="J116" i="58"/>
  <c r="I117" i="58"/>
  <c r="I116" i="58"/>
  <c r="H117" i="58"/>
  <c r="N115" i="58"/>
  <c r="M115" i="58"/>
  <c r="M114" i="58"/>
  <c r="L115" i="58"/>
  <c r="L114" i="58"/>
  <c r="K115" i="58"/>
  <c r="J115" i="58"/>
  <c r="I115" i="58"/>
  <c r="H115" i="58"/>
  <c r="H114" i="58"/>
  <c r="N113" i="58"/>
  <c r="M113" i="58"/>
  <c r="L113" i="58"/>
  <c r="K113" i="58"/>
  <c r="J113" i="58"/>
  <c r="I113" i="58"/>
  <c r="H113" i="58"/>
  <c r="N112" i="58"/>
  <c r="M112" i="58"/>
  <c r="L112" i="58"/>
  <c r="K112" i="58"/>
  <c r="J112" i="58"/>
  <c r="I112" i="58"/>
  <c r="H112" i="58"/>
  <c r="N111" i="58"/>
  <c r="M111" i="58"/>
  <c r="L111" i="58"/>
  <c r="K111" i="58"/>
  <c r="J111" i="58"/>
  <c r="I111" i="58"/>
  <c r="H111" i="58"/>
  <c r="N110" i="58"/>
  <c r="M110" i="58"/>
  <c r="L110" i="58"/>
  <c r="K110" i="58"/>
  <c r="J110" i="58"/>
  <c r="I110" i="58"/>
  <c r="H110" i="58"/>
  <c r="N109" i="58"/>
  <c r="M109" i="58"/>
  <c r="L109" i="58"/>
  <c r="K109" i="58"/>
  <c r="J109" i="58"/>
  <c r="I109" i="58"/>
  <c r="H109" i="58"/>
  <c r="N104" i="58"/>
  <c r="M104" i="58"/>
  <c r="M103" i="58"/>
  <c r="L104" i="58"/>
  <c r="L103" i="58"/>
  <c r="K104" i="58"/>
  <c r="K103" i="58"/>
  <c r="J103" i="58"/>
  <c r="I103" i="58"/>
  <c r="N100" i="58"/>
  <c r="M100" i="58"/>
  <c r="L100" i="58"/>
  <c r="K100" i="58"/>
  <c r="J100" i="58"/>
  <c r="I100" i="58"/>
  <c r="H100" i="58"/>
  <c r="N99" i="58"/>
  <c r="M99" i="58"/>
  <c r="L99" i="58"/>
  <c r="K99" i="58"/>
  <c r="J99" i="58"/>
  <c r="I99" i="58"/>
  <c r="H99" i="58"/>
  <c r="O99" i="58"/>
  <c r="N98" i="58"/>
  <c r="M98" i="58"/>
  <c r="L98" i="58"/>
  <c r="K98" i="58"/>
  <c r="J98" i="58"/>
  <c r="I98" i="58"/>
  <c r="H98" i="58"/>
  <c r="N97" i="58"/>
  <c r="M97" i="58"/>
  <c r="L97" i="58"/>
  <c r="K97" i="58"/>
  <c r="J97" i="58"/>
  <c r="I97" i="58"/>
  <c r="H97" i="58"/>
  <c r="N96" i="58"/>
  <c r="M96" i="58"/>
  <c r="L96" i="58"/>
  <c r="K96" i="58"/>
  <c r="J96" i="58"/>
  <c r="I96" i="58"/>
  <c r="H96" i="58"/>
  <c r="N95" i="58"/>
  <c r="M95" i="58"/>
  <c r="L95" i="58"/>
  <c r="K95" i="58"/>
  <c r="J95" i="58"/>
  <c r="I95" i="58"/>
  <c r="H95" i="58"/>
  <c r="O95" i="58"/>
  <c r="N93" i="58"/>
  <c r="M93" i="58"/>
  <c r="L93" i="58"/>
  <c r="K93" i="58"/>
  <c r="K91" i="58"/>
  <c r="K92" i="58"/>
  <c r="K90" i="58"/>
  <c r="J93" i="58"/>
  <c r="J91" i="58"/>
  <c r="J92" i="58"/>
  <c r="J90" i="58"/>
  <c r="I93" i="58"/>
  <c r="H93" i="58"/>
  <c r="N92" i="58"/>
  <c r="M92" i="58"/>
  <c r="L92" i="58"/>
  <c r="I92" i="58"/>
  <c r="H92" i="58"/>
  <c r="N91" i="58"/>
  <c r="M91" i="58"/>
  <c r="L91" i="58"/>
  <c r="I91" i="58"/>
  <c r="H91" i="58"/>
  <c r="N89" i="58"/>
  <c r="M89" i="58"/>
  <c r="L89" i="58"/>
  <c r="K89" i="58"/>
  <c r="J89" i="58"/>
  <c r="I89" i="58"/>
  <c r="H89" i="58"/>
  <c r="N88" i="58"/>
  <c r="M88" i="58"/>
  <c r="L88" i="58"/>
  <c r="K88" i="58"/>
  <c r="J88" i="58"/>
  <c r="I88" i="58"/>
  <c r="H88" i="58"/>
  <c r="N87" i="58"/>
  <c r="M87" i="58"/>
  <c r="L87" i="58"/>
  <c r="K87" i="58"/>
  <c r="J87" i="58"/>
  <c r="I87" i="58"/>
  <c r="H87" i="58"/>
  <c r="N85" i="58"/>
  <c r="M85" i="58"/>
  <c r="L85" i="58"/>
  <c r="K85" i="58"/>
  <c r="J85" i="58"/>
  <c r="I85" i="58"/>
  <c r="H85" i="58"/>
  <c r="N84" i="58"/>
  <c r="M84" i="58"/>
  <c r="L84" i="58"/>
  <c r="K84" i="58"/>
  <c r="J84" i="58"/>
  <c r="I84" i="58"/>
  <c r="H84" i="58"/>
  <c r="N83" i="58"/>
  <c r="M83" i="58"/>
  <c r="L83" i="58"/>
  <c r="K83" i="58"/>
  <c r="J83" i="58"/>
  <c r="I83" i="58"/>
  <c r="H83" i="58"/>
  <c r="N82" i="58"/>
  <c r="M82" i="58"/>
  <c r="L82" i="58"/>
  <c r="K82" i="58"/>
  <c r="J82" i="58"/>
  <c r="I82" i="58"/>
  <c r="H82" i="58"/>
  <c r="N81" i="58"/>
  <c r="M81" i="58"/>
  <c r="L81" i="58"/>
  <c r="K81" i="58"/>
  <c r="J81" i="58"/>
  <c r="I81" i="58"/>
  <c r="H81" i="58"/>
  <c r="N79" i="58"/>
  <c r="M79" i="58"/>
  <c r="L79" i="58"/>
  <c r="K79" i="58"/>
  <c r="J79" i="58"/>
  <c r="I79" i="58"/>
  <c r="H79" i="58"/>
  <c r="N78" i="58"/>
  <c r="M78" i="58"/>
  <c r="L78" i="58"/>
  <c r="K78" i="58"/>
  <c r="J78" i="58"/>
  <c r="I78" i="58"/>
  <c r="H78" i="58"/>
  <c r="N76" i="58"/>
  <c r="M76" i="58"/>
  <c r="L76" i="58"/>
  <c r="K76" i="58"/>
  <c r="J76" i="58"/>
  <c r="I76" i="58"/>
  <c r="H76" i="58"/>
  <c r="N75" i="58"/>
  <c r="M75" i="58"/>
  <c r="L75" i="58"/>
  <c r="K75" i="58"/>
  <c r="J75" i="58"/>
  <c r="I75" i="58"/>
  <c r="H75" i="58"/>
  <c r="N74" i="58"/>
  <c r="M74" i="58"/>
  <c r="L74" i="58"/>
  <c r="K74" i="58"/>
  <c r="J74" i="58"/>
  <c r="I74" i="58"/>
  <c r="H74" i="58"/>
  <c r="N73" i="58"/>
  <c r="M73" i="58"/>
  <c r="L73" i="58"/>
  <c r="K73" i="58"/>
  <c r="J73" i="58"/>
  <c r="I73" i="58"/>
  <c r="H73" i="58"/>
  <c r="N72" i="58"/>
  <c r="M72" i="58"/>
  <c r="L72" i="58"/>
  <c r="K72" i="58"/>
  <c r="J72" i="58"/>
  <c r="I72" i="58"/>
  <c r="H72" i="58"/>
  <c r="N69" i="58"/>
  <c r="M69" i="58"/>
  <c r="L69" i="58"/>
  <c r="K69" i="58"/>
  <c r="J69" i="58"/>
  <c r="I69" i="58"/>
  <c r="H69" i="58"/>
  <c r="N68" i="58"/>
  <c r="M68" i="58"/>
  <c r="L68" i="58"/>
  <c r="K68" i="58"/>
  <c r="J68" i="58"/>
  <c r="I68" i="58"/>
  <c r="H68" i="58"/>
  <c r="N67" i="58"/>
  <c r="M67" i="58"/>
  <c r="L67" i="58"/>
  <c r="K67" i="58"/>
  <c r="J67" i="58"/>
  <c r="I67" i="58"/>
  <c r="H67" i="58"/>
  <c r="N66" i="58"/>
  <c r="M66" i="58"/>
  <c r="L66" i="58"/>
  <c r="K66" i="58"/>
  <c r="J66" i="58"/>
  <c r="I66" i="58"/>
  <c r="H66" i="58"/>
  <c r="N65" i="58"/>
  <c r="M65" i="58"/>
  <c r="L65" i="58"/>
  <c r="L64" i="58"/>
  <c r="L63" i="58"/>
  <c r="K65" i="58"/>
  <c r="J65" i="58"/>
  <c r="I65" i="58"/>
  <c r="H65" i="58"/>
  <c r="N64" i="58"/>
  <c r="M64" i="58"/>
  <c r="K64" i="58"/>
  <c r="J64" i="58"/>
  <c r="I64" i="58"/>
  <c r="H64" i="58"/>
  <c r="O64" i="58"/>
  <c r="N62" i="58"/>
  <c r="M62" i="58"/>
  <c r="L62" i="58"/>
  <c r="K62" i="58"/>
  <c r="J62" i="58"/>
  <c r="I62" i="58"/>
  <c r="H62" i="58"/>
  <c r="N61" i="58"/>
  <c r="M61" i="58"/>
  <c r="L61" i="58"/>
  <c r="K61" i="58"/>
  <c r="J61" i="58"/>
  <c r="I61" i="58"/>
  <c r="O61" i="58"/>
  <c r="H61" i="58"/>
  <c r="N60" i="58"/>
  <c r="M60" i="58"/>
  <c r="L60" i="58"/>
  <c r="K60" i="58"/>
  <c r="J60" i="58"/>
  <c r="I60" i="58"/>
  <c r="H60" i="58"/>
  <c r="N59" i="58"/>
  <c r="M59" i="58"/>
  <c r="L59" i="58"/>
  <c r="K59" i="58"/>
  <c r="J59" i="58"/>
  <c r="I59" i="58"/>
  <c r="H59" i="58"/>
  <c r="N58" i="58"/>
  <c r="M58" i="58"/>
  <c r="L58" i="58"/>
  <c r="K58" i="58"/>
  <c r="J58" i="58"/>
  <c r="I58" i="58"/>
  <c r="H58" i="58"/>
  <c r="N57" i="58"/>
  <c r="M57" i="58"/>
  <c r="L57" i="58"/>
  <c r="K57" i="58"/>
  <c r="J57" i="58"/>
  <c r="I57" i="58"/>
  <c r="H57" i="58"/>
  <c r="N55" i="58"/>
  <c r="M55" i="58"/>
  <c r="L55" i="58"/>
  <c r="K55" i="58"/>
  <c r="J55" i="58"/>
  <c r="I55" i="58"/>
  <c r="H55" i="58"/>
  <c r="N54" i="58"/>
  <c r="M54" i="58"/>
  <c r="L54" i="58"/>
  <c r="K54" i="58"/>
  <c r="J54" i="58"/>
  <c r="I54" i="58"/>
  <c r="H54" i="58"/>
  <c r="O54" i="58"/>
  <c r="N53" i="58"/>
  <c r="M53" i="58"/>
  <c r="L53" i="58"/>
  <c r="K53" i="58"/>
  <c r="J53" i="58"/>
  <c r="I53" i="58"/>
  <c r="H53" i="58"/>
  <c r="N52" i="58"/>
  <c r="M52" i="58"/>
  <c r="L52" i="58"/>
  <c r="K52" i="58"/>
  <c r="J52" i="58"/>
  <c r="I52" i="58"/>
  <c r="H52" i="58"/>
  <c r="N51" i="58"/>
  <c r="M51" i="58"/>
  <c r="L51" i="58"/>
  <c r="K51" i="58"/>
  <c r="J51" i="58"/>
  <c r="I51" i="58"/>
  <c r="H51" i="58"/>
  <c r="N50" i="58"/>
  <c r="M50" i="58"/>
  <c r="L50" i="58"/>
  <c r="K50" i="58"/>
  <c r="J50" i="58"/>
  <c r="I50" i="58"/>
  <c r="H50" i="58"/>
  <c r="O50" i="58"/>
  <c r="N49" i="58"/>
  <c r="N48" i="58"/>
  <c r="N47" i="58"/>
  <c r="M49" i="58"/>
  <c r="L49" i="58"/>
  <c r="K49" i="58"/>
  <c r="J49" i="58"/>
  <c r="I49" i="58"/>
  <c r="H49" i="58"/>
  <c r="M48" i="58"/>
  <c r="L48" i="58"/>
  <c r="K48" i="58"/>
  <c r="J48" i="58"/>
  <c r="I48" i="58"/>
  <c r="H48" i="58"/>
  <c r="N46" i="58"/>
  <c r="M46" i="58"/>
  <c r="L46" i="58"/>
  <c r="L45" i="58"/>
  <c r="K46" i="58"/>
  <c r="J46" i="58"/>
  <c r="I46" i="58"/>
  <c r="H46" i="58"/>
  <c r="H45" i="58"/>
  <c r="N44" i="58"/>
  <c r="M44" i="58"/>
  <c r="L44" i="58"/>
  <c r="K44" i="58"/>
  <c r="J44" i="58"/>
  <c r="I44" i="58"/>
  <c r="H44" i="58"/>
  <c r="O44" i="58"/>
  <c r="N43" i="58"/>
  <c r="M43" i="58"/>
  <c r="L43" i="58"/>
  <c r="K43" i="58"/>
  <c r="J43" i="58"/>
  <c r="I43" i="58"/>
  <c r="H43" i="58"/>
  <c r="N42" i="58"/>
  <c r="M42" i="58"/>
  <c r="L42" i="58"/>
  <c r="K42" i="58"/>
  <c r="J42" i="58"/>
  <c r="I42" i="58"/>
  <c r="H42" i="58"/>
  <c r="N41" i="58"/>
  <c r="M41" i="58"/>
  <c r="L41" i="58"/>
  <c r="K41" i="58"/>
  <c r="J41" i="58"/>
  <c r="I41" i="58"/>
  <c r="H41" i="58"/>
  <c r="N40" i="58"/>
  <c r="M40" i="58"/>
  <c r="L40" i="58"/>
  <c r="K40" i="58"/>
  <c r="J40" i="58"/>
  <c r="I40" i="58"/>
  <c r="H40" i="58"/>
  <c r="N39" i="58"/>
  <c r="N38" i="58"/>
  <c r="N37" i="58"/>
  <c r="M39" i="58"/>
  <c r="L39" i="58"/>
  <c r="K39" i="58"/>
  <c r="J39" i="58"/>
  <c r="I39" i="58"/>
  <c r="H39" i="58"/>
  <c r="M38" i="58"/>
  <c r="L38" i="58"/>
  <c r="K38" i="58"/>
  <c r="J38" i="58"/>
  <c r="I38" i="58"/>
  <c r="H38" i="58"/>
  <c r="N35" i="58"/>
  <c r="M35" i="58"/>
  <c r="L35" i="58"/>
  <c r="K35" i="58"/>
  <c r="J35" i="58"/>
  <c r="I35" i="58"/>
  <c r="H35" i="58"/>
  <c r="N34" i="58"/>
  <c r="M34" i="58"/>
  <c r="L34" i="58"/>
  <c r="K34" i="58"/>
  <c r="J34" i="58"/>
  <c r="I34" i="58"/>
  <c r="H34" i="58"/>
  <c r="O34" i="58"/>
  <c r="N33" i="58"/>
  <c r="N32" i="58"/>
  <c r="M33" i="58"/>
  <c r="L33" i="58"/>
  <c r="K33" i="58"/>
  <c r="J33" i="58"/>
  <c r="J32" i="58"/>
  <c r="I33" i="58"/>
  <c r="H33" i="58"/>
  <c r="N31" i="58"/>
  <c r="M31" i="58"/>
  <c r="L31" i="58"/>
  <c r="K31" i="58"/>
  <c r="J31" i="58"/>
  <c r="J30" i="58"/>
  <c r="J29" i="58"/>
  <c r="I31" i="58"/>
  <c r="I30" i="58"/>
  <c r="I29" i="58"/>
  <c r="H31" i="58"/>
  <c r="N30" i="58"/>
  <c r="M30" i="58"/>
  <c r="L30" i="58"/>
  <c r="K30" i="58"/>
  <c r="H30" i="58"/>
  <c r="N25" i="58"/>
  <c r="M25" i="58"/>
  <c r="L25" i="58"/>
  <c r="K25" i="58"/>
  <c r="J25" i="58"/>
  <c r="I25" i="58"/>
  <c r="H25" i="58"/>
  <c r="N24" i="58"/>
  <c r="M24" i="58"/>
  <c r="L24" i="58"/>
  <c r="K24" i="58"/>
  <c r="J24" i="58"/>
  <c r="I24" i="58"/>
  <c r="H24" i="58"/>
  <c r="N23" i="58"/>
  <c r="M23" i="58"/>
  <c r="L23" i="58"/>
  <c r="K23" i="58"/>
  <c r="J23" i="58"/>
  <c r="I23" i="58"/>
  <c r="H23" i="58"/>
  <c r="N22" i="58"/>
  <c r="M22" i="58"/>
  <c r="L22" i="58"/>
  <c r="K22" i="58"/>
  <c r="J22" i="58"/>
  <c r="I22" i="58"/>
  <c r="H22" i="58"/>
  <c r="N21" i="58"/>
  <c r="M21" i="58"/>
  <c r="L21" i="58"/>
  <c r="K21" i="58"/>
  <c r="J21" i="58"/>
  <c r="I21" i="58"/>
  <c r="H21" i="58"/>
  <c r="N20" i="58"/>
  <c r="M20" i="58"/>
  <c r="L20" i="58"/>
  <c r="K20" i="58"/>
  <c r="J20" i="58"/>
  <c r="I20" i="58"/>
  <c r="H20" i="58"/>
  <c r="N19" i="58"/>
  <c r="M19" i="58"/>
  <c r="L19" i="58"/>
  <c r="K19" i="58"/>
  <c r="J19" i="58"/>
  <c r="I19" i="58"/>
  <c r="H19" i="58"/>
  <c r="N18" i="58"/>
  <c r="M18" i="58"/>
  <c r="L18" i="58"/>
  <c r="K18" i="58"/>
  <c r="J18" i="58"/>
  <c r="I18" i="58"/>
  <c r="H18" i="58"/>
  <c r="N14" i="58"/>
  <c r="M14" i="58"/>
  <c r="L14" i="58"/>
  <c r="K14" i="58"/>
  <c r="J14" i="58"/>
  <c r="I14" i="58"/>
  <c r="H14" i="58"/>
  <c r="N13" i="58"/>
  <c r="M13" i="58"/>
  <c r="L13" i="58"/>
  <c r="K13" i="58"/>
  <c r="J13" i="58"/>
  <c r="I13" i="58"/>
  <c r="H13" i="58"/>
  <c r="N12" i="58"/>
  <c r="M12" i="58"/>
  <c r="L12" i="58"/>
  <c r="K12" i="58"/>
  <c r="J12" i="58"/>
  <c r="I12" i="58"/>
  <c r="H12" i="58"/>
  <c r="N11" i="58"/>
  <c r="M11" i="58"/>
  <c r="L11" i="58"/>
  <c r="L10" i="58"/>
  <c r="L9" i="58"/>
  <c r="L8" i="58"/>
  <c r="K11" i="58"/>
  <c r="J11" i="58"/>
  <c r="I11" i="58"/>
  <c r="H11" i="58"/>
  <c r="N10" i="58"/>
  <c r="M10" i="58"/>
  <c r="K10" i="58"/>
  <c r="J10" i="58"/>
  <c r="I10" i="58"/>
  <c r="H10" i="58"/>
  <c r="N204" i="57"/>
  <c r="M169" i="57"/>
  <c r="N150" i="57"/>
  <c r="J150" i="57"/>
  <c r="N145" i="57"/>
  <c r="O144" i="57"/>
  <c r="O140" i="57"/>
  <c r="K116" i="57"/>
  <c r="O117" i="57"/>
  <c r="O116" i="57"/>
  <c r="N114" i="57"/>
  <c r="N108" i="57"/>
  <c r="N107" i="57"/>
  <c r="K103" i="57"/>
  <c r="K90" i="57"/>
  <c r="J90" i="57"/>
  <c r="L77" i="57"/>
  <c r="O69" i="57"/>
  <c r="N63" i="57"/>
  <c r="H56" i="57"/>
  <c r="K47" i="57"/>
  <c r="N45" i="57"/>
  <c r="J45" i="57"/>
  <c r="I45" i="57"/>
  <c r="O41" i="57"/>
  <c r="J29" i="57"/>
  <c r="O14" i="57"/>
  <c r="K9" i="57"/>
  <c r="K8" i="57"/>
  <c r="N220" i="56"/>
  <c r="M220" i="56"/>
  <c r="L220" i="56"/>
  <c r="K220" i="56"/>
  <c r="J220" i="56"/>
  <c r="I220" i="56"/>
  <c r="H220" i="56"/>
  <c r="O220" i="56"/>
  <c r="N218" i="56"/>
  <c r="M218" i="56"/>
  <c r="L218" i="56"/>
  <c r="K218" i="56"/>
  <c r="J218" i="56"/>
  <c r="I218" i="56"/>
  <c r="H218" i="56"/>
  <c r="N215" i="56"/>
  <c r="M215" i="56"/>
  <c r="L215" i="56"/>
  <c r="K215" i="56"/>
  <c r="J215" i="56"/>
  <c r="I215" i="56"/>
  <c r="H215" i="56"/>
  <c r="N213" i="56"/>
  <c r="M213" i="56"/>
  <c r="L213" i="56"/>
  <c r="L207" i="56"/>
  <c r="L209" i="56"/>
  <c r="L204" i="56"/>
  <c r="K213" i="56"/>
  <c r="J213" i="56"/>
  <c r="I213" i="56"/>
  <c r="H213" i="56"/>
  <c r="H207" i="56"/>
  <c r="H209" i="56"/>
  <c r="H204" i="56"/>
  <c r="N209" i="56"/>
  <c r="M209" i="56"/>
  <c r="K209" i="56"/>
  <c r="J209" i="56"/>
  <c r="I209" i="56"/>
  <c r="O209" i="56"/>
  <c r="N207" i="56"/>
  <c r="M207" i="56"/>
  <c r="K207" i="56"/>
  <c r="J207" i="56"/>
  <c r="I207" i="56"/>
  <c r="N203" i="56"/>
  <c r="M203" i="56"/>
  <c r="L203" i="56"/>
  <c r="K203" i="56"/>
  <c r="J203" i="56"/>
  <c r="I203" i="56"/>
  <c r="H203" i="56"/>
  <c r="N201" i="56"/>
  <c r="M201" i="56"/>
  <c r="L201" i="56"/>
  <c r="K201" i="56"/>
  <c r="J201" i="56"/>
  <c r="I201" i="56"/>
  <c r="H201" i="56"/>
  <c r="N198" i="56"/>
  <c r="M198" i="56"/>
  <c r="L198" i="56"/>
  <c r="K198" i="56"/>
  <c r="J198" i="56"/>
  <c r="I198" i="56"/>
  <c r="H198" i="56"/>
  <c r="O198" i="56"/>
  <c r="N196" i="56"/>
  <c r="M196" i="56"/>
  <c r="L196" i="56"/>
  <c r="K196" i="56"/>
  <c r="J196" i="56"/>
  <c r="H196" i="56"/>
  <c r="I196" i="56"/>
  <c r="O196" i="56"/>
  <c r="N193" i="56"/>
  <c r="M193" i="56"/>
  <c r="M191" i="56"/>
  <c r="M188" i="56"/>
  <c r="L193" i="56"/>
  <c r="K193" i="56"/>
  <c r="J193" i="56"/>
  <c r="I193" i="56"/>
  <c r="H193" i="56"/>
  <c r="N191" i="56"/>
  <c r="L191" i="56"/>
  <c r="K191" i="56"/>
  <c r="J191" i="56"/>
  <c r="I191" i="56"/>
  <c r="H191" i="56"/>
  <c r="N186" i="56"/>
  <c r="M186" i="56"/>
  <c r="L186" i="56"/>
  <c r="K186" i="56"/>
  <c r="J186" i="56"/>
  <c r="I186" i="56"/>
  <c r="H186" i="56"/>
  <c r="O186" i="56"/>
  <c r="N185" i="56"/>
  <c r="M185" i="56"/>
  <c r="L185" i="56"/>
  <c r="K185" i="56"/>
  <c r="J185" i="56"/>
  <c r="H185" i="56"/>
  <c r="I185" i="56"/>
  <c r="O185" i="56"/>
  <c r="N183" i="56"/>
  <c r="M183" i="56"/>
  <c r="L183" i="56"/>
  <c r="K183" i="56"/>
  <c r="J183" i="56"/>
  <c r="I183" i="56"/>
  <c r="H183" i="56"/>
  <c r="N181" i="56"/>
  <c r="M181" i="56"/>
  <c r="L181" i="56"/>
  <c r="K181" i="56"/>
  <c r="J181" i="56"/>
  <c r="I181" i="56"/>
  <c r="H181" i="56"/>
  <c r="O181" i="56"/>
  <c r="N178" i="56"/>
  <c r="M178" i="56"/>
  <c r="L178" i="56"/>
  <c r="K178" i="56"/>
  <c r="J178" i="56"/>
  <c r="I178" i="56"/>
  <c r="H178" i="56"/>
  <c r="O178" i="56"/>
  <c r="N177" i="56"/>
  <c r="M177" i="56"/>
  <c r="L177" i="56"/>
  <c r="K177" i="56"/>
  <c r="J177" i="56"/>
  <c r="I177" i="56"/>
  <c r="H177" i="56"/>
  <c r="N175" i="56"/>
  <c r="M175" i="56"/>
  <c r="L175" i="56"/>
  <c r="K175" i="56"/>
  <c r="J175" i="56"/>
  <c r="I175" i="56"/>
  <c r="H175" i="56"/>
  <c r="N173" i="56"/>
  <c r="M173" i="56"/>
  <c r="L173" i="56"/>
  <c r="L171" i="56"/>
  <c r="L172" i="56"/>
  <c r="L169" i="56"/>
  <c r="K173" i="56"/>
  <c r="J173" i="56"/>
  <c r="I173" i="56"/>
  <c r="H173" i="56"/>
  <c r="N172" i="56"/>
  <c r="M172" i="56"/>
  <c r="K172" i="56"/>
  <c r="K171" i="56"/>
  <c r="K169" i="56"/>
  <c r="J172" i="56"/>
  <c r="I172" i="56"/>
  <c r="H172" i="56"/>
  <c r="O172" i="56"/>
  <c r="N171" i="56"/>
  <c r="M171" i="56"/>
  <c r="J171" i="56"/>
  <c r="I171" i="56"/>
  <c r="H171" i="56"/>
  <c r="N152" i="56"/>
  <c r="M152" i="56"/>
  <c r="L152" i="56"/>
  <c r="K152" i="56"/>
  <c r="K151" i="56"/>
  <c r="K150" i="56"/>
  <c r="J152" i="56"/>
  <c r="I152" i="56"/>
  <c r="H152" i="56"/>
  <c r="O152" i="56"/>
  <c r="N151" i="56"/>
  <c r="M151" i="56"/>
  <c r="L151" i="56"/>
  <c r="L150" i="56"/>
  <c r="J151" i="56"/>
  <c r="I151" i="56"/>
  <c r="H151" i="56"/>
  <c r="H150" i="56"/>
  <c r="L145" i="56"/>
  <c r="H145" i="56"/>
  <c r="K145" i="56"/>
  <c r="N145" i="56"/>
  <c r="J145" i="56"/>
  <c r="N144" i="56"/>
  <c r="M144" i="56"/>
  <c r="L144" i="56"/>
  <c r="K144" i="56"/>
  <c r="J144" i="56"/>
  <c r="I144" i="56"/>
  <c r="O144" i="56"/>
  <c r="H144" i="56"/>
  <c r="N143" i="56"/>
  <c r="M143" i="56"/>
  <c r="L143" i="56"/>
  <c r="K143" i="56"/>
  <c r="J143" i="56"/>
  <c r="I143" i="56"/>
  <c r="H143" i="56"/>
  <c r="O143" i="56"/>
  <c r="N142" i="56"/>
  <c r="M142" i="56"/>
  <c r="L142" i="56"/>
  <c r="K142" i="56"/>
  <c r="J142" i="56"/>
  <c r="H142" i="56"/>
  <c r="I142" i="56"/>
  <c r="O142" i="56"/>
  <c r="N141" i="56"/>
  <c r="M141" i="56"/>
  <c r="L141" i="56"/>
  <c r="K141" i="56"/>
  <c r="J141" i="56"/>
  <c r="I141" i="56"/>
  <c r="H141" i="56"/>
  <c r="N140" i="56"/>
  <c r="M140" i="56"/>
  <c r="L140" i="56"/>
  <c r="K140" i="56"/>
  <c r="J140" i="56"/>
  <c r="I140" i="56"/>
  <c r="O140" i="56"/>
  <c r="H140" i="56"/>
  <c r="N139" i="56"/>
  <c r="M139" i="56"/>
  <c r="L139" i="56"/>
  <c r="K139" i="56"/>
  <c r="K138" i="56"/>
  <c r="J139" i="56"/>
  <c r="I139" i="56"/>
  <c r="H139" i="56"/>
  <c r="N137" i="56"/>
  <c r="M137" i="56"/>
  <c r="L137" i="56"/>
  <c r="K137" i="56"/>
  <c r="J137" i="56"/>
  <c r="H137" i="56"/>
  <c r="I137" i="56"/>
  <c r="O137" i="56"/>
  <c r="N136" i="56"/>
  <c r="M136" i="56"/>
  <c r="L136" i="56"/>
  <c r="K136" i="56"/>
  <c r="J136" i="56"/>
  <c r="I136" i="56"/>
  <c r="H136" i="56"/>
  <c r="N135" i="56"/>
  <c r="M135" i="56"/>
  <c r="L135" i="56"/>
  <c r="L133" i="56"/>
  <c r="L134" i="56"/>
  <c r="L132" i="56"/>
  <c r="K135" i="56"/>
  <c r="J135" i="56"/>
  <c r="I135" i="56"/>
  <c r="H135" i="56"/>
  <c r="O135" i="56"/>
  <c r="N134" i="56"/>
  <c r="M134" i="56"/>
  <c r="K134" i="56"/>
  <c r="J134" i="56"/>
  <c r="I134" i="56"/>
  <c r="H134" i="56"/>
  <c r="N133" i="56"/>
  <c r="N132" i="56"/>
  <c r="M133" i="56"/>
  <c r="K133" i="56"/>
  <c r="J133" i="56"/>
  <c r="I133" i="56"/>
  <c r="H133" i="56"/>
  <c r="N129" i="56"/>
  <c r="N127" i="56"/>
  <c r="N128" i="56"/>
  <c r="N126" i="56"/>
  <c r="N125" i="56"/>
  <c r="M129" i="56"/>
  <c r="L129" i="56"/>
  <c r="K129" i="56"/>
  <c r="J129" i="56"/>
  <c r="J127" i="56"/>
  <c r="J128" i="56"/>
  <c r="J126" i="56"/>
  <c r="J125" i="56"/>
  <c r="I129" i="56"/>
  <c r="H129" i="56"/>
  <c r="M128" i="56"/>
  <c r="L128" i="56"/>
  <c r="K128" i="56"/>
  <c r="I128" i="56"/>
  <c r="H128" i="56"/>
  <c r="O128" i="56"/>
  <c r="M127" i="56"/>
  <c r="L127" i="56"/>
  <c r="K127" i="56"/>
  <c r="K126" i="56"/>
  <c r="K125" i="56"/>
  <c r="I127" i="56"/>
  <c r="H127" i="56"/>
  <c r="O127" i="56"/>
  <c r="N121" i="56"/>
  <c r="M121" i="56"/>
  <c r="M120" i="56"/>
  <c r="M119" i="56"/>
  <c r="L121" i="56"/>
  <c r="K121" i="56"/>
  <c r="I119" i="56"/>
  <c r="N120" i="56"/>
  <c r="L120" i="56"/>
  <c r="K120" i="56"/>
  <c r="K119" i="56"/>
  <c r="N117" i="56"/>
  <c r="N116" i="56"/>
  <c r="M117" i="56"/>
  <c r="L117" i="56"/>
  <c r="K117" i="56"/>
  <c r="J117" i="56"/>
  <c r="I117" i="56"/>
  <c r="H117" i="56"/>
  <c r="N115" i="56"/>
  <c r="N114" i="56"/>
  <c r="M115" i="56"/>
  <c r="M114" i="56"/>
  <c r="L115" i="56"/>
  <c r="K115" i="56"/>
  <c r="J115" i="56"/>
  <c r="J114" i="56"/>
  <c r="I115" i="56"/>
  <c r="I114" i="56"/>
  <c r="H115" i="56"/>
  <c r="N113" i="56"/>
  <c r="M113" i="56"/>
  <c r="L113" i="56"/>
  <c r="K113" i="56"/>
  <c r="J113" i="56"/>
  <c r="I113" i="56"/>
  <c r="O113" i="56"/>
  <c r="H113" i="56"/>
  <c r="N112" i="56"/>
  <c r="M112" i="56"/>
  <c r="L112" i="56"/>
  <c r="K112" i="56"/>
  <c r="J112" i="56"/>
  <c r="I112" i="56"/>
  <c r="H112" i="56"/>
  <c r="N111" i="56"/>
  <c r="M111" i="56"/>
  <c r="L111" i="56"/>
  <c r="K111" i="56"/>
  <c r="J111" i="56"/>
  <c r="H111" i="56"/>
  <c r="I111" i="56"/>
  <c r="O111" i="56"/>
  <c r="N110" i="56"/>
  <c r="M110" i="56"/>
  <c r="L110" i="56"/>
  <c r="K110" i="56"/>
  <c r="J110" i="56"/>
  <c r="I110" i="56"/>
  <c r="H110" i="56"/>
  <c r="O110" i="56"/>
  <c r="N109" i="56"/>
  <c r="M109" i="56"/>
  <c r="L109" i="56"/>
  <c r="K109" i="56"/>
  <c r="J109" i="56"/>
  <c r="I109" i="56"/>
  <c r="H109" i="56"/>
  <c r="H108" i="56"/>
  <c r="N104" i="56"/>
  <c r="N103" i="56"/>
  <c r="M104" i="56"/>
  <c r="L104" i="56"/>
  <c r="K104" i="56"/>
  <c r="N100" i="56"/>
  <c r="M100" i="56"/>
  <c r="L100" i="56"/>
  <c r="K100" i="56"/>
  <c r="J100" i="56"/>
  <c r="I100" i="56"/>
  <c r="H100" i="56"/>
  <c r="O100" i="56"/>
  <c r="N99" i="56"/>
  <c r="M99" i="56"/>
  <c r="L99" i="56"/>
  <c r="K99" i="56"/>
  <c r="J99" i="56"/>
  <c r="I99" i="56"/>
  <c r="H99" i="56"/>
  <c r="O99" i="56"/>
  <c r="N98" i="56"/>
  <c r="M98" i="56"/>
  <c r="L98" i="56"/>
  <c r="K98" i="56"/>
  <c r="J98" i="56"/>
  <c r="I98" i="56"/>
  <c r="H98" i="56"/>
  <c r="O98" i="56"/>
  <c r="N97" i="56"/>
  <c r="M97" i="56"/>
  <c r="L97" i="56"/>
  <c r="K97" i="56"/>
  <c r="J97" i="56"/>
  <c r="H97" i="56"/>
  <c r="I97" i="56"/>
  <c r="O97" i="56"/>
  <c r="N96" i="56"/>
  <c r="M96" i="56"/>
  <c r="L96" i="56"/>
  <c r="K96" i="56"/>
  <c r="J96" i="56"/>
  <c r="I96" i="56"/>
  <c r="H96" i="56"/>
  <c r="O96" i="56"/>
  <c r="N95" i="56"/>
  <c r="M95" i="56"/>
  <c r="L95" i="56"/>
  <c r="L94" i="56"/>
  <c r="K95" i="56"/>
  <c r="J95" i="56"/>
  <c r="I95" i="56"/>
  <c r="H95" i="56"/>
  <c r="N93" i="56"/>
  <c r="M93" i="56"/>
  <c r="L93" i="56"/>
  <c r="L91" i="56"/>
  <c r="L92" i="56"/>
  <c r="L90" i="56"/>
  <c r="K93" i="56"/>
  <c r="J93" i="56"/>
  <c r="I93" i="56"/>
  <c r="H93" i="56"/>
  <c r="O93" i="56"/>
  <c r="N92" i="56"/>
  <c r="M92" i="56"/>
  <c r="K92" i="56"/>
  <c r="J92" i="56"/>
  <c r="H92" i="56"/>
  <c r="I92" i="56"/>
  <c r="O92" i="56"/>
  <c r="N91" i="56"/>
  <c r="M91" i="56"/>
  <c r="M90" i="56"/>
  <c r="K91" i="56"/>
  <c r="J91" i="56"/>
  <c r="I91" i="56"/>
  <c r="I90" i="56"/>
  <c r="H91" i="56"/>
  <c r="N89" i="56"/>
  <c r="M89" i="56"/>
  <c r="M87" i="56"/>
  <c r="M88" i="56"/>
  <c r="M86" i="56"/>
  <c r="L89" i="56"/>
  <c r="K89" i="56"/>
  <c r="J89" i="56"/>
  <c r="I89" i="56"/>
  <c r="I87" i="56"/>
  <c r="I88" i="56"/>
  <c r="I86" i="56"/>
  <c r="H89" i="56"/>
  <c r="N88" i="56"/>
  <c r="L88" i="56"/>
  <c r="K88" i="56"/>
  <c r="J88" i="56"/>
  <c r="H88" i="56"/>
  <c r="H87" i="56"/>
  <c r="H86" i="56"/>
  <c r="N87" i="56"/>
  <c r="L87" i="56"/>
  <c r="K87" i="56"/>
  <c r="J87" i="56"/>
  <c r="N85" i="56"/>
  <c r="M85" i="56"/>
  <c r="L85" i="56"/>
  <c r="K85" i="56"/>
  <c r="J85" i="56"/>
  <c r="I85" i="56"/>
  <c r="O85" i="56"/>
  <c r="H85" i="56"/>
  <c r="N84" i="56"/>
  <c r="M84" i="56"/>
  <c r="L84" i="56"/>
  <c r="K84" i="56"/>
  <c r="J84" i="56"/>
  <c r="I84" i="56"/>
  <c r="H84" i="56"/>
  <c r="N83" i="56"/>
  <c r="M83" i="56"/>
  <c r="L83" i="56"/>
  <c r="K83" i="56"/>
  <c r="K81" i="56"/>
  <c r="K82" i="56"/>
  <c r="K80" i="56"/>
  <c r="J83" i="56"/>
  <c r="I83" i="56"/>
  <c r="H83" i="56"/>
  <c r="N82" i="56"/>
  <c r="M82" i="56"/>
  <c r="L82" i="56"/>
  <c r="J82" i="56"/>
  <c r="H82" i="56"/>
  <c r="I82" i="56"/>
  <c r="O82" i="56"/>
  <c r="N81" i="56"/>
  <c r="M81" i="56"/>
  <c r="L81" i="56"/>
  <c r="J81" i="56"/>
  <c r="I81" i="56"/>
  <c r="H81" i="56"/>
  <c r="N79" i="56"/>
  <c r="M79" i="56"/>
  <c r="M78" i="56"/>
  <c r="M77" i="56"/>
  <c r="L79" i="56"/>
  <c r="K79" i="56"/>
  <c r="J79" i="56"/>
  <c r="I79" i="56"/>
  <c r="H79" i="56"/>
  <c r="O79" i="56"/>
  <c r="N78" i="56"/>
  <c r="L78" i="56"/>
  <c r="K78" i="56"/>
  <c r="K77" i="56"/>
  <c r="J78" i="56"/>
  <c r="I78" i="56"/>
  <c r="H78" i="56"/>
  <c r="N76" i="56"/>
  <c r="M76" i="56"/>
  <c r="L76" i="56"/>
  <c r="K76" i="56"/>
  <c r="J76" i="56"/>
  <c r="H76" i="56"/>
  <c r="I76" i="56"/>
  <c r="O76" i="56"/>
  <c r="N75" i="56"/>
  <c r="M75" i="56"/>
  <c r="L75" i="56"/>
  <c r="K75" i="56"/>
  <c r="J75" i="56"/>
  <c r="I75" i="56"/>
  <c r="O75" i="56"/>
  <c r="H75" i="56"/>
  <c r="N74" i="56"/>
  <c r="M74" i="56"/>
  <c r="L74" i="56"/>
  <c r="K74" i="56"/>
  <c r="J74" i="56"/>
  <c r="I74" i="56"/>
  <c r="H74" i="56"/>
  <c r="O74" i="56"/>
  <c r="N73" i="56"/>
  <c r="M73" i="56"/>
  <c r="L73" i="56"/>
  <c r="K73" i="56"/>
  <c r="J73" i="56"/>
  <c r="I73" i="56"/>
  <c r="H73" i="56"/>
  <c r="N72" i="56"/>
  <c r="N71" i="56"/>
  <c r="M72" i="56"/>
  <c r="L72" i="56"/>
  <c r="K72" i="56"/>
  <c r="J72" i="56"/>
  <c r="I72" i="56"/>
  <c r="H72" i="56"/>
  <c r="N69" i="56"/>
  <c r="M69" i="56"/>
  <c r="L69" i="56"/>
  <c r="K69" i="56"/>
  <c r="J69" i="56"/>
  <c r="I69" i="56"/>
  <c r="O69" i="56"/>
  <c r="H69" i="56"/>
  <c r="N68" i="56"/>
  <c r="M68" i="56"/>
  <c r="L68" i="56"/>
  <c r="K68" i="56"/>
  <c r="J68" i="56"/>
  <c r="I68" i="56"/>
  <c r="H68" i="56"/>
  <c r="N67" i="56"/>
  <c r="M67" i="56"/>
  <c r="L67" i="56"/>
  <c r="K67" i="56"/>
  <c r="J67" i="56"/>
  <c r="I67" i="56"/>
  <c r="H67" i="56"/>
  <c r="N66" i="56"/>
  <c r="M66" i="56"/>
  <c r="L66" i="56"/>
  <c r="K66" i="56"/>
  <c r="J66" i="56"/>
  <c r="H66" i="56"/>
  <c r="I66" i="56"/>
  <c r="O66" i="56"/>
  <c r="N65" i="56"/>
  <c r="M65" i="56"/>
  <c r="L65" i="56"/>
  <c r="K65" i="56"/>
  <c r="J65" i="56"/>
  <c r="I65" i="56"/>
  <c r="H65" i="56"/>
  <c r="O65" i="56"/>
  <c r="N64" i="56"/>
  <c r="M64" i="56"/>
  <c r="L64" i="56"/>
  <c r="L63" i="56"/>
  <c r="K64" i="56"/>
  <c r="J64" i="56"/>
  <c r="I64" i="56"/>
  <c r="H64" i="56"/>
  <c r="N62" i="56"/>
  <c r="M62" i="56"/>
  <c r="L62" i="56"/>
  <c r="K62" i="56"/>
  <c r="J62" i="56"/>
  <c r="I62" i="56"/>
  <c r="H62" i="56"/>
  <c r="N61" i="56"/>
  <c r="M61" i="56"/>
  <c r="L61" i="56"/>
  <c r="K61" i="56"/>
  <c r="J61" i="56"/>
  <c r="I61" i="56"/>
  <c r="O61" i="56"/>
  <c r="H61" i="56"/>
  <c r="N60" i="56"/>
  <c r="M60" i="56"/>
  <c r="L60" i="56"/>
  <c r="K60" i="56"/>
  <c r="J60" i="56"/>
  <c r="I60" i="56"/>
  <c r="O60" i="56"/>
  <c r="H60" i="56"/>
  <c r="N59" i="56"/>
  <c r="M59" i="56"/>
  <c r="L59" i="56"/>
  <c r="K59" i="56"/>
  <c r="J59" i="56"/>
  <c r="I59" i="56"/>
  <c r="H59" i="56"/>
  <c r="O59" i="56"/>
  <c r="N58" i="56"/>
  <c r="M58" i="56"/>
  <c r="L58" i="56"/>
  <c r="K58" i="56"/>
  <c r="J58" i="56"/>
  <c r="I58" i="56"/>
  <c r="H58" i="56"/>
  <c r="N57" i="56"/>
  <c r="M57" i="56"/>
  <c r="L57" i="56"/>
  <c r="K57" i="56"/>
  <c r="J57" i="56"/>
  <c r="I57" i="56"/>
  <c r="H57" i="56"/>
  <c r="N55" i="56"/>
  <c r="M55" i="56"/>
  <c r="L55" i="56"/>
  <c r="K55" i="56"/>
  <c r="J55" i="56"/>
  <c r="I55" i="56"/>
  <c r="O55" i="56"/>
  <c r="H55" i="56"/>
  <c r="N54" i="56"/>
  <c r="M54" i="56"/>
  <c r="L54" i="56"/>
  <c r="K54" i="56"/>
  <c r="J54" i="56"/>
  <c r="I54" i="56"/>
  <c r="H54" i="56"/>
  <c r="O54" i="56"/>
  <c r="N53" i="56"/>
  <c r="M53" i="56"/>
  <c r="L53" i="56"/>
  <c r="K53" i="56"/>
  <c r="J53" i="56"/>
  <c r="I53" i="56"/>
  <c r="H53" i="56"/>
  <c r="N52" i="56"/>
  <c r="M52" i="56"/>
  <c r="L52" i="56"/>
  <c r="K52" i="56"/>
  <c r="J52" i="56"/>
  <c r="H52" i="56"/>
  <c r="I52" i="56"/>
  <c r="O52" i="56"/>
  <c r="N51" i="56"/>
  <c r="M51" i="56"/>
  <c r="L51" i="56"/>
  <c r="K51" i="56"/>
  <c r="J51" i="56"/>
  <c r="I51" i="56"/>
  <c r="H51" i="56"/>
  <c r="O51" i="56"/>
  <c r="N50" i="56"/>
  <c r="M50" i="56"/>
  <c r="L50" i="56"/>
  <c r="K50" i="56"/>
  <c r="J50" i="56"/>
  <c r="I50" i="56"/>
  <c r="H50" i="56"/>
  <c r="O50" i="56"/>
  <c r="N49" i="56"/>
  <c r="M49" i="56"/>
  <c r="L49" i="56"/>
  <c r="K49" i="56"/>
  <c r="J49" i="56"/>
  <c r="I49" i="56"/>
  <c r="H49" i="56"/>
  <c r="N48" i="56"/>
  <c r="N47" i="56"/>
  <c r="M48" i="56"/>
  <c r="L48" i="56"/>
  <c r="K48" i="56"/>
  <c r="J48" i="56"/>
  <c r="I48" i="56"/>
  <c r="H48" i="56"/>
  <c r="N46" i="56"/>
  <c r="N45" i="56"/>
  <c r="M46" i="56"/>
  <c r="M45" i="56"/>
  <c r="L46" i="56"/>
  <c r="K46" i="56"/>
  <c r="J46" i="56"/>
  <c r="J45" i="56"/>
  <c r="I46" i="56"/>
  <c r="I45" i="56"/>
  <c r="H46" i="56"/>
  <c r="N44" i="56"/>
  <c r="M44" i="56"/>
  <c r="L44" i="56"/>
  <c r="K44" i="56"/>
  <c r="J44" i="56"/>
  <c r="I44" i="56"/>
  <c r="H44" i="56"/>
  <c r="O44" i="56"/>
  <c r="N43" i="56"/>
  <c r="M43" i="56"/>
  <c r="L43" i="56"/>
  <c r="K43" i="56"/>
  <c r="J43" i="56"/>
  <c r="I43" i="56"/>
  <c r="H43" i="56"/>
  <c r="O43" i="56"/>
  <c r="N42" i="56"/>
  <c r="M42" i="56"/>
  <c r="L42" i="56"/>
  <c r="K42" i="56"/>
  <c r="J42" i="56"/>
  <c r="H42" i="56"/>
  <c r="I42" i="56"/>
  <c r="O42" i="56"/>
  <c r="N41" i="56"/>
  <c r="M41" i="56"/>
  <c r="L41" i="56"/>
  <c r="K41" i="56"/>
  <c r="J41" i="56"/>
  <c r="I41" i="56"/>
  <c r="H41" i="56"/>
  <c r="O41" i="56"/>
  <c r="N40" i="56"/>
  <c r="M40" i="56"/>
  <c r="L40" i="56"/>
  <c r="K40" i="56"/>
  <c r="J40" i="56"/>
  <c r="I40" i="56"/>
  <c r="H40" i="56"/>
  <c r="O40" i="56"/>
  <c r="N39" i="56"/>
  <c r="M39" i="56"/>
  <c r="L39" i="56"/>
  <c r="K39" i="56"/>
  <c r="J39" i="56"/>
  <c r="I39" i="56"/>
  <c r="H39" i="56"/>
  <c r="N38" i="56"/>
  <c r="N37" i="56"/>
  <c r="M38" i="56"/>
  <c r="L38" i="56"/>
  <c r="K38" i="56"/>
  <c r="J38" i="56"/>
  <c r="I38" i="56"/>
  <c r="H38" i="56"/>
  <c r="N35" i="56"/>
  <c r="M35" i="56"/>
  <c r="L35" i="56"/>
  <c r="K35" i="56"/>
  <c r="J35" i="56"/>
  <c r="I35" i="56"/>
  <c r="H35" i="56"/>
  <c r="O35" i="56"/>
  <c r="N34" i="56"/>
  <c r="M34" i="56"/>
  <c r="L34" i="56"/>
  <c r="K34" i="56"/>
  <c r="J34" i="56"/>
  <c r="I34" i="56"/>
  <c r="H34" i="56"/>
  <c r="O34" i="56"/>
  <c r="N33" i="56"/>
  <c r="M33" i="56"/>
  <c r="L33" i="56"/>
  <c r="K33" i="56"/>
  <c r="J33" i="56"/>
  <c r="I33" i="56"/>
  <c r="H33" i="56"/>
  <c r="N31" i="56"/>
  <c r="M31" i="56"/>
  <c r="L31" i="56"/>
  <c r="K31" i="56"/>
  <c r="J31" i="56"/>
  <c r="H31" i="56"/>
  <c r="I31" i="56"/>
  <c r="O31" i="56"/>
  <c r="N30" i="56"/>
  <c r="M30" i="56"/>
  <c r="M29" i="56"/>
  <c r="L30" i="56"/>
  <c r="K30" i="56"/>
  <c r="J30" i="56"/>
  <c r="I30" i="56"/>
  <c r="I29" i="56"/>
  <c r="H30" i="56"/>
  <c r="N25" i="56"/>
  <c r="M25" i="56"/>
  <c r="L25" i="56"/>
  <c r="K25" i="56"/>
  <c r="J25" i="56"/>
  <c r="I25" i="56"/>
  <c r="H25" i="56"/>
  <c r="O25" i="56"/>
  <c r="N24" i="56"/>
  <c r="M24" i="56"/>
  <c r="L24" i="56"/>
  <c r="K24" i="56"/>
  <c r="J24" i="56"/>
  <c r="I24" i="56"/>
  <c r="H24" i="56"/>
  <c r="O24" i="56"/>
  <c r="N23" i="56"/>
  <c r="M23" i="56"/>
  <c r="L23" i="56"/>
  <c r="K23" i="56"/>
  <c r="J23" i="56"/>
  <c r="H23" i="56"/>
  <c r="I23" i="56"/>
  <c r="O23" i="56"/>
  <c r="N22" i="56"/>
  <c r="M22" i="56"/>
  <c r="L22" i="56"/>
  <c r="K22" i="56"/>
  <c r="J22" i="56"/>
  <c r="I22" i="56"/>
  <c r="H22" i="56"/>
  <c r="O22" i="56"/>
  <c r="N21" i="56"/>
  <c r="M21" i="56"/>
  <c r="L21" i="56"/>
  <c r="K21" i="56"/>
  <c r="J21" i="56"/>
  <c r="I21" i="56"/>
  <c r="H21" i="56"/>
  <c r="O21" i="56"/>
  <c r="N20" i="56"/>
  <c r="M20" i="56"/>
  <c r="L20" i="56"/>
  <c r="K20" i="56"/>
  <c r="K18" i="56"/>
  <c r="K19" i="56"/>
  <c r="K17" i="56"/>
  <c r="J20" i="56"/>
  <c r="I20" i="56"/>
  <c r="H20" i="56"/>
  <c r="O20" i="56"/>
  <c r="N19" i="56"/>
  <c r="M19" i="56"/>
  <c r="L19" i="56"/>
  <c r="J19" i="56"/>
  <c r="H19" i="56"/>
  <c r="I19" i="56"/>
  <c r="O19" i="56"/>
  <c r="N18" i="56"/>
  <c r="M18" i="56"/>
  <c r="M17" i="56"/>
  <c r="L18" i="56"/>
  <c r="J18" i="56"/>
  <c r="I18" i="56"/>
  <c r="I17" i="56"/>
  <c r="H18" i="56"/>
  <c r="N14" i="56"/>
  <c r="M14" i="56"/>
  <c r="L14" i="56"/>
  <c r="K14" i="56"/>
  <c r="J14" i="56"/>
  <c r="I14" i="56"/>
  <c r="H14" i="56"/>
  <c r="N223" i="56"/>
  <c r="N13" i="56"/>
  <c r="M13" i="56"/>
  <c r="L13" i="56"/>
  <c r="K13" i="56"/>
  <c r="J13" i="56"/>
  <c r="I13" i="56"/>
  <c r="H13" i="56"/>
  <c r="O13" i="56"/>
  <c r="N12" i="56"/>
  <c r="M12" i="56"/>
  <c r="L12" i="56"/>
  <c r="K12" i="56"/>
  <c r="J12" i="56"/>
  <c r="H12" i="56"/>
  <c r="I12" i="56"/>
  <c r="O12" i="56"/>
  <c r="N11" i="56"/>
  <c r="M11" i="56"/>
  <c r="L11" i="56"/>
  <c r="K11" i="56"/>
  <c r="J11" i="56"/>
  <c r="I11" i="56"/>
  <c r="H11" i="56"/>
  <c r="O11" i="56"/>
  <c r="N10" i="56"/>
  <c r="M10" i="56"/>
  <c r="L10" i="56"/>
  <c r="L9" i="56"/>
  <c r="L8" i="56"/>
  <c r="K10" i="56"/>
  <c r="J10" i="56"/>
  <c r="I10" i="56"/>
  <c r="H10" i="56"/>
  <c r="H9" i="56"/>
  <c r="H8" i="56"/>
  <c r="N220" i="55"/>
  <c r="M220" i="55"/>
  <c r="L220" i="55"/>
  <c r="K220" i="55"/>
  <c r="J220" i="55"/>
  <c r="I220" i="55"/>
  <c r="H220" i="55"/>
  <c r="O220" i="55"/>
  <c r="N218" i="55"/>
  <c r="M218" i="55"/>
  <c r="L218" i="55"/>
  <c r="K218" i="55"/>
  <c r="J218" i="55"/>
  <c r="I218" i="55"/>
  <c r="H218" i="55"/>
  <c r="N215" i="55"/>
  <c r="M215" i="55"/>
  <c r="L215" i="55"/>
  <c r="K215" i="55"/>
  <c r="J215" i="55"/>
  <c r="I215" i="55"/>
  <c r="H215" i="55"/>
  <c r="O215" i="55"/>
  <c r="N213" i="55"/>
  <c r="M213" i="55"/>
  <c r="L213" i="55"/>
  <c r="K213" i="55"/>
  <c r="J213" i="55"/>
  <c r="I213" i="55"/>
  <c r="H213" i="55"/>
  <c r="N209" i="55"/>
  <c r="M209" i="55"/>
  <c r="L209" i="55"/>
  <c r="K209" i="55"/>
  <c r="J209" i="55"/>
  <c r="I209" i="55"/>
  <c r="H209" i="55"/>
  <c r="N207" i="55"/>
  <c r="M207" i="55"/>
  <c r="L207" i="55"/>
  <c r="K207" i="55"/>
  <c r="J207" i="55"/>
  <c r="I207" i="55"/>
  <c r="H207" i="55"/>
  <c r="N203" i="55"/>
  <c r="M203" i="55"/>
  <c r="L203" i="55"/>
  <c r="K203" i="55"/>
  <c r="J203" i="55"/>
  <c r="I203" i="55"/>
  <c r="H203" i="55"/>
  <c r="N201" i="55"/>
  <c r="M201" i="55"/>
  <c r="L201" i="55"/>
  <c r="K201" i="55"/>
  <c r="J201" i="55"/>
  <c r="I201" i="55"/>
  <c r="H201" i="55"/>
  <c r="O201" i="55"/>
  <c r="N198" i="55"/>
  <c r="M198" i="55"/>
  <c r="L198" i="55"/>
  <c r="K198" i="55"/>
  <c r="J198" i="55"/>
  <c r="I198" i="55"/>
  <c r="H198" i="55"/>
  <c r="O198" i="55"/>
  <c r="N196" i="55"/>
  <c r="M196" i="55"/>
  <c r="L196" i="55"/>
  <c r="K196" i="55"/>
  <c r="J196" i="55"/>
  <c r="I196" i="55"/>
  <c r="H196" i="55"/>
  <c r="N193" i="55"/>
  <c r="M193" i="55"/>
  <c r="L193" i="55"/>
  <c r="K193" i="55"/>
  <c r="J193" i="55"/>
  <c r="I193" i="55"/>
  <c r="H193" i="55"/>
  <c r="O193" i="55"/>
  <c r="N191" i="55"/>
  <c r="M191" i="55"/>
  <c r="L191" i="55"/>
  <c r="L188" i="55"/>
  <c r="K191" i="55"/>
  <c r="J191" i="55"/>
  <c r="I191" i="55"/>
  <c r="H191" i="55"/>
  <c r="N186" i="55"/>
  <c r="M186" i="55"/>
  <c r="L186" i="55"/>
  <c r="K186" i="55"/>
  <c r="J186" i="55"/>
  <c r="I186" i="55"/>
  <c r="H186" i="55"/>
  <c r="O186" i="55"/>
  <c r="N185" i="55"/>
  <c r="M185" i="55"/>
  <c r="L185" i="55"/>
  <c r="K185" i="55"/>
  <c r="J185" i="55"/>
  <c r="I185" i="55"/>
  <c r="H185" i="55"/>
  <c r="N183" i="55"/>
  <c r="M183" i="55"/>
  <c r="L183" i="55"/>
  <c r="K183" i="55"/>
  <c r="J183" i="55"/>
  <c r="I183" i="55"/>
  <c r="H183" i="55"/>
  <c r="O183" i="55"/>
  <c r="N181" i="55"/>
  <c r="M181" i="55"/>
  <c r="L181" i="55"/>
  <c r="K181" i="55"/>
  <c r="J181" i="55"/>
  <c r="I181" i="55"/>
  <c r="H181" i="55"/>
  <c r="O181" i="55"/>
  <c r="N178" i="55"/>
  <c r="M178" i="55"/>
  <c r="L178" i="55"/>
  <c r="K178" i="55"/>
  <c r="J178" i="55"/>
  <c r="I178" i="55"/>
  <c r="H178" i="55"/>
  <c r="N177" i="55"/>
  <c r="M177" i="55"/>
  <c r="L177" i="55"/>
  <c r="K177" i="55"/>
  <c r="J177" i="55"/>
  <c r="I177" i="55"/>
  <c r="H177" i="55"/>
  <c r="N175" i="55"/>
  <c r="M175" i="55"/>
  <c r="L175" i="55"/>
  <c r="K175" i="55"/>
  <c r="J175" i="55"/>
  <c r="I175" i="55"/>
  <c r="H175" i="55"/>
  <c r="N173" i="55"/>
  <c r="M173" i="55"/>
  <c r="L173" i="55"/>
  <c r="L171" i="55"/>
  <c r="L172" i="55"/>
  <c r="L169" i="55"/>
  <c r="K173" i="55"/>
  <c r="J173" i="55"/>
  <c r="I173" i="55"/>
  <c r="H173" i="55"/>
  <c r="O173" i="55"/>
  <c r="N172" i="55"/>
  <c r="M172" i="55"/>
  <c r="K172" i="55"/>
  <c r="J172" i="55"/>
  <c r="I172" i="55"/>
  <c r="H172" i="55"/>
  <c r="N171" i="55"/>
  <c r="M171" i="55"/>
  <c r="K171" i="55"/>
  <c r="J171" i="55"/>
  <c r="I171" i="55"/>
  <c r="H171" i="55"/>
  <c r="N152" i="55"/>
  <c r="M152" i="55"/>
  <c r="L152" i="55"/>
  <c r="K152" i="55"/>
  <c r="K151" i="55"/>
  <c r="K150" i="55"/>
  <c r="J152" i="55"/>
  <c r="I152" i="55"/>
  <c r="H152" i="55"/>
  <c r="N151" i="55"/>
  <c r="M151" i="55"/>
  <c r="L151" i="55"/>
  <c r="L150" i="55"/>
  <c r="J151" i="55"/>
  <c r="I151" i="55"/>
  <c r="H151" i="55"/>
  <c r="H150" i="55"/>
  <c r="I145" i="55"/>
  <c r="L145" i="55"/>
  <c r="K145" i="55"/>
  <c r="J145" i="55"/>
  <c r="N144" i="55"/>
  <c r="M144" i="55"/>
  <c r="L144" i="55"/>
  <c r="K144" i="55"/>
  <c r="J144" i="55"/>
  <c r="I144" i="55"/>
  <c r="O144" i="55"/>
  <c r="H144" i="55"/>
  <c r="N143" i="55"/>
  <c r="M143" i="55"/>
  <c r="L143" i="55"/>
  <c r="K143" i="55"/>
  <c r="J143" i="55"/>
  <c r="H143" i="55"/>
  <c r="I143" i="55"/>
  <c r="O143" i="55"/>
  <c r="N142" i="55"/>
  <c r="M142" i="55"/>
  <c r="L142" i="55"/>
  <c r="K142" i="55"/>
  <c r="J142" i="55"/>
  <c r="I142" i="55"/>
  <c r="H142" i="55"/>
  <c r="O142" i="55"/>
  <c r="N141" i="55"/>
  <c r="M141" i="55"/>
  <c r="L141" i="55"/>
  <c r="K141" i="55"/>
  <c r="J141" i="55"/>
  <c r="I141" i="55"/>
  <c r="H141" i="55"/>
  <c r="N140" i="55"/>
  <c r="M140" i="55"/>
  <c r="L140" i="55"/>
  <c r="K140" i="55"/>
  <c r="J140" i="55"/>
  <c r="I140" i="55"/>
  <c r="H140" i="55"/>
  <c r="N139" i="55"/>
  <c r="M139" i="55"/>
  <c r="L139" i="55"/>
  <c r="K139" i="55"/>
  <c r="J139" i="55"/>
  <c r="I139" i="55"/>
  <c r="H139" i="55"/>
  <c r="N137" i="55"/>
  <c r="M137" i="55"/>
  <c r="L137" i="55"/>
  <c r="K137" i="55"/>
  <c r="J137" i="55"/>
  <c r="I137" i="55"/>
  <c r="H137" i="55"/>
  <c r="N136" i="55"/>
  <c r="M136" i="55"/>
  <c r="L136" i="55"/>
  <c r="K136" i="55"/>
  <c r="J136" i="55"/>
  <c r="I136" i="55"/>
  <c r="H136" i="55"/>
  <c r="H134" i="55"/>
  <c r="H135" i="55"/>
  <c r="H132" i="55"/>
  <c r="N135" i="55"/>
  <c r="M135" i="55"/>
  <c r="L135" i="55"/>
  <c r="K135" i="55"/>
  <c r="J135" i="55"/>
  <c r="I135" i="55"/>
  <c r="N134" i="55"/>
  <c r="M134" i="55"/>
  <c r="L134" i="55"/>
  <c r="K134" i="55"/>
  <c r="J134" i="55"/>
  <c r="I134" i="55"/>
  <c r="N133" i="55"/>
  <c r="M133" i="55"/>
  <c r="L133" i="55"/>
  <c r="K133" i="55"/>
  <c r="J133" i="55"/>
  <c r="I133" i="55"/>
  <c r="O133" i="55"/>
  <c r="H133" i="55"/>
  <c r="N129" i="55"/>
  <c r="M129" i="55"/>
  <c r="M127" i="55"/>
  <c r="M128" i="55"/>
  <c r="M126" i="55"/>
  <c r="M125" i="55"/>
  <c r="L129" i="55"/>
  <c r="K129" i="55"/>
  <c r="J129" i="55"/>
  <c r="I129" i="55"/>
  <c r="H129" i="55"/>
  <c r="N128" i="55"/>
  <c r="L128" i="55"/>
  <c r="K128" i="55"/>
  <c r="J128" i="55"/>
  <c r="I128" i="55"/>
  <c r="H128" i="55"/>
  <c r="O128" i="55"/>
  <c r="N127" i="55"/>
  <c r="N126" i="55"/>
  <c r="N125" i="55"/>
  <c r="L127" i="55"/>
  <c r="K127" i="55"/>
  <c r="J127" i="55"/>
  <c r="I127" i="55"/>
  <c r="H127" i="55"/>
  <c r="N121" i="55"/>
  <c r="M121" i="55"/>
  <c r="M120" i="55"/>
  <c r="M119" i="55"/>
  <c r="L121" i="55"/>
  <c r="L120" i="55"/>
  <c r="L119" i="55"/>
  <c r="K121" i="55"/>
  <c r="K120" i="55"/>
  <c r="K119" i="55"/>
  <c r="I119" i="55"/>
  <c r="N120" i="55"/>
  <c r="N119" i="55"/>
  <c r="N117" i="55"/>
  <c r="M117" i="55"/>
  <c r="M116" i="55"/>
  <c r="L117" i="55"/>
  <c r="K117" i="55"/>
  <c r="K116" i="55"/>
  <c r="J117" i="55"/>
  <c r="J116" i="55"/>
  <c r="I117" i="55"/>
  <c r="I116" i="55"/>
  <c r="H117" i="55"/>
  <c r="N115" i="55"/>
  <c r="M115" i="55"/>
  <c r="L115" i="55"/>
  <c r="K115" i="55"/>
  <c r="J115" i="55"/>
  <c r="J114" i="55"/>
  <c r="I115" i="55"/>
  <c r="I114" i="55"/>
  <c r="H115" i="55"/>
  <c r="H114" i="55"/>
  <c r="N113" i="55"/>
  <c r="M113" i="55"/>
  <c r="L113" i="55"/>
  <c r="K113" i="55"/>
  <c r="J113" i="55"/>
  <c r="I113" i="55"/>
  <c r="O113" i="55"/>
  <c r="H113" i="55"/>
  <c r="N112" i="55"/>
  <c r="M112" i="55"/>
  <c r="L112" i="55"/>
  <c r="K112" i="55"/>
  <c r="J112" i="55"/>
  <c r="I112" i="55"/>
  <c r="O112" i="55"/>
  <c r="H112" i="55"/>
  <c r="N111" i="55"/>
  <c r="M111" i="55"/>
  <c r="L111" i="55"/>
  <c r="K111" i="55"/>
  <c r="J111" i="55"/>
  <c r="I111" i="55"/>
  <c r="H111" i="55"/>
  <c r="N110" i="55"/>
  <c r="M110" i="55"/>
  <c r="L110" i="55"/>
  <c r="K110" i="55"/>
  <c r="J110" i="55"/>
  <c r="I110" i="55"/>
  <c r="H110" i="55"/>
  <c r="N109" i="55"/>
  <c r="M109" i="55"/>
  <c r="L109" i="55"/>
  <c r="K109" i="55"/>
  <c r="J109" i="55"/>
  <c r="I109" i="55"/>
  <c r="H109" i="55"/>
  <c r="N104" i="55"/>
  <c r="N103" i="55"/>
  <c r="M104" i="55"/>
  <c r="M103" i="55"/>
  <c r="L104" i="55"/>
  <c r="K104" i="55"/>
  <c r="K103" i="55"/>
  <c r="I103" i="55"/>
  <c r="N100" i="55"/>
  <c r="M100" i="55"/>
  <c r="L100" i="55"/>
  <c r="K100" i="55"/>
  <c r="J100" i="55"/>
  <c r="I100" i="55"/>
  <c r="H100" i="55"/>
  <c r="O100" i="55"/>
  <c r="N99" i="55"/>
  <c r="M99" i="55"/>
  <c r="L99" i="55"/>
  <c r="K99" i="55"/>
  <c r="J99" i="55"/>
  <c r="I99" i="55"/>
  <c r="H99" i="55"/>
  <c r="O99" i="55"/>
  <c r="N98" i="55"/>
  <c r="M98" i="55"/>
  <c r="L98" i="55"/>
  <c r="K98" i="55"/>
  <c r="J98" i="55"/>
  <c r="J95" i="55"/>
  <c r="J96" i="55"/>
  <c r="J97" i="55"/>
  <c r="J94" i="55"/>
  <c r="I98" i="55"/>
  <c r="H98" i="55"/>
  <c r="N97" i="55"/>
  <c r="M97" i="55"/>
  <c r="M95" i="55"/>
  <c r="M96" i="55"/>
  <c r="M94" i="55"/>
  <c r="L97" i="55"/>
  <c r="K97" i="55"/>
  <c r="I97" i="55"/>
  <c r="H97" i="55"/>
  <c r="O97" i="55"/>
  <c r="N96" i="55"/>
  <c r="L96" i="55"/>
  <c r="K96" i="55"/>
  <c r="I96" i="55"/>
  <c r="H96" i="55"/>
  <c r="N95" i="55"/>
  <c r="L95" i="55"/>
  <c r="K95" i="55"/>
  <c r="I95" i="55"/>
  <c r="H95" i="55"/>
  <c r="O95" i="55"/>
  <c r="N93" i="55"/>
  <c r="M93" i="55"/>
  <c r="L93" i="55"/>
  <c r="K93" i="55"/>
  <c r="J93" i="55"/>
  <c r="I93" i="55"/>
  <c r="H93" i="55"/>
  <c r="N92" i="55"/>
  <c r="M92" i="55"/>
  <c r="L92" i="55"/>
  <c r="K92" i="55"/>
  <c r="J92" i="55"/>
  <c r="I92" i="55"/>
  <c r="H92" i="55"/>
  <c r="N91" i="55"/>
  <c r="M91" i="55"/>
  <c r="L91" i="55"/>
  <c r="L90" i="55"/>
  <c r="K91" i="55"/>
  <c r="J91" i="55"/>
  <c r="I91" i="55"/>
  <c r="H91" i="55"/>
  <c r="N89" i="55"/>
  <c r="M89" i="55"/>
  <c r="L89" i="55"/>
  <c r="K89" i="55"/>
  <c r="J89" i="55"/>
  <c r="I89" i="55"/>
  <c r="H89" i="55"/>
  <c r="N88" i="55"/>
  <c r="M88" i="55"/>
  <c r="L88" i="55"/>
  <c r="K88" i="55"/>
  <c r="J88" i="55"/>
  <c r="I88" i="55"/>
  <c r="H88" i="55"/>
  <c r="N87" i="55"/>
  <c r="M87" i="55"/>
  <c r="M86" i="55"/>
  <c r="L87" i="55"/>
  <c r="K87" i="55"/>
  <c r="J87" i="55"/>
  <c r="I87" i="55"/>
  <c r="H87" i="55"/>
  <c r="O87" i="55"/>
  <c r="N85" i="55"/>
  <c r="M85" i="55"/>
  <c r="L85" i="55"/>
  <c r="K85" i="55"/>
  <c r="J85" i="55"/>
  <c r="I85" i="55"/>
  <c r="H85" i="55"/>
  <c r="N84" i="55"/>
  <c r="M84" i="55"/>
  <c r="L84" i="55"/>
  <c r="K84" i="55"/>
  <c r="J84" i="55"/>
  <c r="I84" i="55"/>
  <c r="H84" i="55"/>
  <c r="N83" i="55"/>
  <c r="M83" i="55"/>
  <c r="L83" i="55"/>
  <c r="K83" i="55"/>
  <c r="J83" i="55"/>
  <c r="H83" i="55"/>
  <c r="I83" i="55"/>
  <c r="O83" i="55"/>
  <c r="N82" i="55"/>
  <c r="M82" i="55"/>
  <c r="L82" i="55"/>
  <c r="K82" i="55"/>
  <c r="J82" i="55"/>
  <c r="I82" i="55"/>
  <c r="H82" i="55"/>
  <c r="N81" i="55"/>
  <c r="M81" i="55"/>
  <c r="L81" i="55"/>
  <c r="K81" i="55"/>
  <c r="J81" i="55"/>
  <c r="I81" i="55"/>
  <c r="H81" i="55"/>
  <c r="N79" i="55"/>
  <c r="M79" i="55"/>
  <c r="M78" i="55"/>
  <c r="M77" i="55"/>
  <c r="L79" i="55"/>
  <c r="K79" i="55"/>
  <c r="J79" i="55"/>
  <c r="I79" i="55"/>
  <c r="I78" i="55"/>
  <c r="I77" i="55"/>
  <c r="H79" i="55"/>
  <c r="N78" i="55"/>
  <c r="N77" i="55"/>
  <c r="L78" i="55"/>
  <c r="K78" i="55"/>
  <c r="J78" i="55"/>
  <c r="H78" i="55"/>
  <c r="N76" i="55"/>
  <c r="M76" i="55"/>
  <c r="L76" i="55"/>
  <c r="K76" i="55"/>
  <c r="J76" i="55"/>
  <c r="I76" i="55"/>
  <c r="H76" i="55"/>
  <c r="N75" i="55"/>
  <c r="M75" i="55"/>
  <c r="L75" i="55"/>
  <c r="K75" i="55"/>
  <c r="J75" i="55"/>
  <c r="I75" i="55"/>
  <c r="O75" i="55"/>
  <c r="H75" i="55"/>
  <c r="N74" i="55"/>
  <c r="M74" i="55"/>
  <c r="L74" i="55"/>
  <c r="K74" i="55"/>
  <c r="J74" i="55"/>
  <c r="I74" i="55"/>
  <c r="H74" i="55"/>
  <c r="O74" i="55"/>
  <c r="N73" i="55"/>
  <c r="M73" i="55"/>
  <c r="L73" i="55"/>
  <c r="K73" i="55"/>
  <c r="J73" i="55"/>
  <c r="I73" i="55"/>
  <c r="H73" i="55"/>
  <c r="N72" i="55"/>
  <c r="M72" i="55"/>
  <c r="L72" i="55"/>
  <c r="K72" i="55"/>
  <c r="J72" i="55"/>
  <c r="I72" i="55"/>
  <c r="H72" i="55"/>
  <c r="O72" i="55"/>
  <c r="N69" i="55"/>
  <c r="M69" i="55"/>
  <c r="L69" i="55"/>
  <c r="K69" i="55"/>
  <c r="J69" i="55"/>
  <c r="I69" i="55"/>
  <c r="H69" i="55"/>
  <c r="N68" i="55"/>
  <c r="M68" i="55"/>
  <c r="L68" i="55"/>
  <c r="K68" i="55"/>
  <c r="J68" i="55"/>
  <c r="I68" i="55"/>
  <c r="H68" i="55"/>
  <c r="N67" i="55"/>
  <c r="M67" i="55"/>
  <c r="L67" i="55"/>
  <c r="K67" i="55"/>
  <c r="J67" i="55"/>
  <c r="I67" i="55"/>
  <c r="O67" i="55"/>
  <c r="H67" i="55"/>
  <c r="N66" i="55"/>
  <c r="M66" i="55"/>
  <c r="L66" i="55"/>
  <c r="K66" i="55"/>
  <c r="J66" i="55"/>
  <c r="I66" i="55"/>
  <c r="H66" i="55"/>
  <c r="O66" i="55"/>
  <c r="N65" i="55"/>
  <c r="M65" i="55"/>
  <c r="L65" i="55"/>
  <c r="K65" i="55"/>
  <c r="J65" i="55"/>
  <c r="I65" i="55"/>
  <c r="H65" i="55"/>
  <c r="N64" i="55"/>
  <c r="M64" i="55"/>
  <c r="L64" i="55"/>
  <c r="K64" i="55"/>
  <c r="J64" i="55"/>
  <c r="I64" i="55"/>
  <c r="H64" i="55"/>
  <c r="N62" i="55"/>
  <c r="M62" i="55"/>
  <c r="L62" i="55"/>
  <c r="K62" i="55"/>
  <c r="J62" i="55"/>
  <c r="I62" i="55"/>
  <c r="O62" i="55"/>
  <c r="H62" i="55"/>
  <c r="N61" i="55"/>
  <c r="M61" i="55"/>
  <c r="L61" i="55"/>
  <c r="K61" i="55"/>
  <c r="J61" i="55"/>
  <c r="I61" i="55"/>
  <c r="O61" i="55"/>
  <c r="H61" i="55"/>
  <c r="N60" i="55"/>
  <c r="M60" i="55"/>
  <c r="L60" i="55"/>
  <c r="L57" i="55"/>
  <c r="L58" i="55"/>
  <c r="L59" i="55"/>
  <c r="L56" i="55"/>
  <c r="K60" i="55"/>
  <c r="J60" i="55"/>
  <c r="I60" i="55"/>
  <c r="O60" i="55"/>
  <c r="H60" i="55"/>
  <c r="H14" i="55"/>
  <c r="H53" i="55"/>
  <c r="N223" i="55"/>
  <c r="N59" i="55"/>
  <c r="M59" i="55"/>
  <c r="K59" i="55"/>
  <c r="J59" i="55"/>
  <c r="I59" i="55"/>
  <c r="H59" i="55"/>
  <c r="N58" i="55"/>
  <c r="M58" i="55"/>
  <c r="K58" i="55"/>
  <c r="J58" i="55"/>
  <c r="I58" i="55"/>
  <c r="H58" i="55"/>
  <c r="N57" i="55"/>
  <c r="M57" i="55"/>
  <c r="K57" i="55"/>
  <c r="J57" i="55"/>
  <c r="I57" i="55"/>
  <c r="H57" i="55"/>
  <c r="N55" i="55"/>
  <c r="M55" i="55"/>
  <c r="L55" i="55"/>
  <c r="K55" i="55"/>
  <c r="J55" i="55"/>
  <c r="I55" i="55"/>
  <c r="O55" i="55"/>
  <c r="H55" i="55"/>
  <c r="N54" i="55"/>
  <c r="M54" i="55"/>
  <c r="L54" i="55"/>
  <c r="K54" i="55"/>
  <c r="J54" i="55"/>
  <c r="I54" i="55"/>
  <c r="H54" i="55"/>
  <c r="O54" i="55"/>
  <c r="N53" i="55"/>
  <c r="M53" i="55"/>
  <c r="L53" i="55"/>
  <c r="K53" i="55"/>
  <c r="J53" i="55"/>
  <c r="I53" i="55"/>
  <c r="O53" i="55"/>
  <c r="N52" i="55"/>
  <c r="M52" i="55"/>
  <c r="L52" i="55"/>
  <c r="K52" i="55"/>
  <c r="J52" i="55"/>
  <c r="I52" i="55"/>
  <c r="H52" i="55"/>
  <c r="N51" i="55"/>
  <c r="M51" i="55"/>
  <c r="L51" i="55"/>
  <c r="K51" i="55"/>
  <c r="J51" i="55"/>
  <c r="I51" i="55"/>
  <c r="H51" i="55"/>
  <c r="N50" i="55"/>
  <c r="M50" i="55"/>
  <c r="L50" i="55"/>
  <c r="K50" i="55"/>
  <c r="J50" i="55"/>
  <c r="I50" i="55"/>
  <c r="H50" i="55"/>
  <c r="N49" i="55"/>
  <c r="M49" i="55"/>
  <c r="L49" i="55"/>
  <c r="K49" i="55"/>
  <c r="J49" i="55"/>
  <c r="H49" i="55"/>
  <c r="I49" i="55"/>
  <c r="O49" i="55"/>
  <c r="N48" i="55"/>
  <c r="M48" i="55"/>
  <c r="L48" i="55"/>
  <c r="K48" i="55"/>
  <c r="J48" i="55"/>
  <c r="I48" i="55"/>
  <c r="H48" i="55"/>
  <c r="O48" i="55"/>
  <c r="N46" i="55"/>
  <c r="N45" i="55"/>
  <c r="M46" i="55"/>
  <c r="L46" i="55"/>
  <c r="L45" i="55"/>
  <c r="K46" i="55"/>
  <c r="J46" i="55"/>
  <c r="J45" i="55"/>
  <c r="I46" i="55"/>
  <c r="I45" i="55"/>
  <c r="H46" i="55"/>
  <c r="N44" i="55"/>
  <c r="M44" i="55"/>
  <c r="L44" i="55"/>
  <c r="K44" i="55"/>
  <c r="J44" i="55"/>
  <c r="I44" i="55"/>
  <c r="H44" i="55"/>
  <c r="O44" i="55"/>
  <c r="N43" i="55"/>
  <c r="M43" i="55"/>
  <c r="L43" i="55"/>
  <c r="K43" i="55"/>
  <c r="J43" i="55"/>
  <c r="I43" i="55"/>
  <c r="H43" i="55"/>
  <c r="N42" i="55"/>
  <c r="M42" i="55"/>
  <c r="L42" i="55"/>
  <c r="K42" i="55"/>
  <c r="J42" i="55"/>
  <c r="I42" i="55"/>
  <c r="H42" i="55"/>
  <c r="O42" i="55"/>
  <c r="N41" i="55"/>
  <c r="M41" i="55"/>
  <c r="L41" i="55"/>
  <c r="L38" i="55"/>
  <c r="L39" i="55"/>
  <c r="L40" i="55"/>
  <c r="L37" i="55"/>
  <c r="K41" i="55"/>
  <c r="J41" i="55"/>
  <c r="I41" i="55"/>
  <c r="H41" i="55"/>
  <c r="N40" i="55"/>
  <c r="M40" i="55"/>
  <c r="K40" i="55"/>
  <c r="J40" i="55"/>
  <c r="I40" i="55"/>
  <c r="H40" i="55"/>
  <c r="N39" i="55"/>
  <c r="M39" i="55"/>
  <c r="K39" i="55"/>
  <c r="J39" i="55"/>
  <c r="I39" i="55"/>
  <c r="H39" i="55"/>
  <c r="N38" i="55"/>
  <c r="M38" i="55"/>
  <c r="K38" i="55"/>
  <c r="J38" i="55"/>
  <c r="I38" i="55"/>
  <c r="H38" i="55"/>
  <c r="N35" i="55"/>
  <c r="M35" i="55"/>
  <c r="L35" i="55"/>
  <c r="K35" i="55"/>
  <c r="J35" i="55"/>
  <c r="I35" i="55"/>
  <c r="H35" i="55"/>
  <c r="N34" i="55"/>
  <c r="M34" i="55"/>
  <c r="L34" i="55"/>
  <c r="K34" i="55"/>
  <c r="J34" i="55"/>
  <c r="I34" i="55"/>
  <c r="H34" i="55"/>
  <c r="O34" i="55"/>
  <c r="N33" i="55"/>
  <c r="N32" i="55"/>
  <c r="M33" i="55"/>
  <c r="L33" i="55"/>
  <c r="K33" i="55"/>
  <c r="J33" i="55"/>
  <c r="J32" i="55"/>
  <c r="I33" i="55"/>
  <c r="H33" i="55"/>
  <c r="N31" i="55"/>
  <c r="M31" i="55"/>
  <c r="L31" i="55"/>
  <c r="K31" i="55"/>
  <c r="K30" i="55"/>
  <c r="K29" i="55"/>
  <c r="J31" i="55"/>
  <c r="I31" i="55"/>
  <c r="H31" i="55"/>
  <c r="O31" i="55"/>
  <c r="N30" i="55"/>
  <c r="M30" i="55"/>
  <c r="L30" i="55"/>
  <c r="L29" i="55"/>
  <c r="J30" i="55"/>
  <c r="I30" i="55"/>
  <c r="H30" i="55"/>
  <c r="H29" i="55"/>
  <c r="N25" i="55"/>
  <c r="M25" i="55"/>
  <c r="L25" i="55"/>
  <c r="K25" i="55"/>
  <c r="J25" i="55"/>
  <c r="I25" i="55"/>
  <c r="H25" i="55"/>
  <c r="N24" i="55"/>
  <c r="M24" i="55"/>
  <c r="L24" i="55"/>
  <c r="K24" i="55"/>
  <c r="J24" i="55"/>
  <c r="I24" i="55"/>
  <c r="H24" i="55"/>
  <c r="N23" i="55"/>
  <c r="M23" i="55"/>
  <c r="L23" i="55"/>
  <c r="K23" i="55"/>
  <c r="J23" i="55"/>
  <c r="I23" i="55"/>
  <c r="H23" i="55"/>
  <c r="O23" i="55"/>
  <c r="N22" i="55"/>
  <c r="M22" i="55"/>
  <c r="L22" i="55"/>
  <c r="K22" i="55"/>
  <c r="J22" i="55"/>
  <c r="I22" i="55"/>
  <c r="H22" i="55"/>
  <c r="N21" i="55"/>
  <c r="M21" i="55"/>
  <c r="L21" i="55"/>
  <c r="K21" i="55"/>
  <c r="J21" i="55"/>
  <c r="I21" i="55"/>
  <c r="H21" i="55"/>
  <c r="O21" i="55"/>
  <c r="N20" i="55"/>
  <c r="M20" i="55"/>
  <c r="L20" i="55"/>
  <c r="K20" i="55"/>
  <c r="J20" i="55"/>
  <c r="H20" i="55"/>
  <c r="I20" i="55"/>
  <c r="O20" i="55"/>
  <c r="N19" i="55"/>
  <c r="M19" i="55"/>
  <c r="M18" i="55"/>
  <c r="M17" i="55"/>
  <c r="L19" i="55"/>
  <c r="K19" i="55"/>
  <c r="J19" i="55"/>
  <c r="I19" i="55"/>
  <c r="H19" i="55"/>
  <c r="N18" i="55"/>
  <c r="L18" i="55"/>
  <c r="K18" i="55"/>
  <c r="J18" i="55"/>
  <c r="I18" i="55"/>
  <c r="H18" i="55"/>
  <c r="N14" i="55"/>
  <c r="M14" i="55"/>
  <c r="L14" i="55"/>
  <c r="K14" i="55"/>
  <c r="J14" i="55"/>
  <c r="I14" i="55"/>
  <c r="O14" i="55"/>
  <c r="N13" i="55"/>
  <c r="N10" i="55"/>
  <c r="N11" i="55"/>
  <c r="N12" i="55"/>
  <c r="N9" i="55"/>
  <c r="N8" i="55"/>
  <c r="M13" i="55"/>
  <c r="L13" i="55"/>
  <c r="K13" i="55"/>
  <c r="J13" i="55"/>
  <c r="I13" i="55"/>
  <c r="H13" i="55"/>
  <c r="M12" i="55"/>
  <c r="L12" i="55"/>
  <c r="K12" i="55"/>
  <c r="J12" i="55"/>
  <c r="I12" i="55"/>
  <c r="H12" i="55"/>
  <c r="M11" i="55"/>
  <c r="L11" i="55"/>
  <c r="K11" i="55"/>
  <c r="J11" i="55"/>
  <c r="I11" i="55"/>
  <c r="H11" i="55"/>
  <c r="M10" i="55"/>
  <c r="L10" i="55"/>
  <c r="K10" i="55"/>
  <c r="K9" i="55"/>
  <c r="K8" i="55"/>
  <c r="J10" i="55"/>
  <c r="I10" i="55"/>
  <c r="H10" i="55"/>
  <c r="K204" i="55"/>
  <c r="N150" i="55"/>
  <c r="M145" i="55"/>
  <c r="N145" i="55"/>
  <c r="L116" i="55"/>
  <c r="H116" i="55"/>
  <c r="K114" i="55"/>
  <c r="L103" i="55"/>
  <c r="H103" i="55"/>
  <c r="H94" i="55"/>
  <c r="O79" i="55"/>
  <c r="O68" i="55"/>
  <c r="O59" i="55"/>
  <c r="K45" i="55"/>
  <c r="J29" i="55"/>
  <c r="O203" i="61"/>
  <c r="M188" i="61"/>
  <c r="O187" i="61"/>
  <c r="O184" i="61"/>
  <c r="O182" i="61"/>
  <c r="O180" i="61"/>
  <c r="O179" i="61"/>
  <c r="O177" i="61"/>
  <c r="O176" i="61"/>
  <c r="O174" i="61"/>
  <c r="O165" i="61"/>
  <c r="O164" i="61"/>
  <c r="O163" i="61"/>
  <c r="O162" i="61"/>
  <c r="O161" i="61"/>
  <c r="J159" i="37"/>
  <c r="I160" i="61"/>
  <c r="O160" i="61"/>
  <c r="O159" i="61"/>
  <c r="J157" i="37"/>
  <c r="I158" i="61"/>
  <c r="O158" i="61"/>
  <c r="O157" i="61"/>
  <c r="O156" i="61"/>
  <c r="O155" i="61"/>
  <c r="O154" i="61"/>
  <c r="N155" i="61"/>
  <c r="M155" i="61"/>
  <c r="L155" i="61"/>
  <c r="K155" i="61"/>
  <c r="J155" i="61"/>
  <c r="H155" i="61"/>
  <c r="N154" i="61"/>
  <c r="M154" i="61"/>
  <c r="L154" i="61"/>
  <c r="K154" i="61"/>
  <c r="J154" i="61"/>
  <c r="H154" i="61"/>
  <c r="N150" i="61"/>
  <c r="J150" i="61"/>
  <c r="M145" i="61"/>
  <c r="I145" i="61"/>
  <c r="J138" i="61"/>
  <c r="J132" i="61"/>
  <c r="N119" i="61"/>
  <c r="L119" i="61"/>
  <c r="H119" i="61"/>
  <c r="M116" i="61"/>
  <c r="L116" i="61"/>
  <c r="K116" i="61"/>
  <c r="I116" i="61"/>
  <c r="H116" i="61"/>
  <c r="O113" i="61"/>
  <c r="O109" i="61"/>
  <c r="L103" i="61"/>
  <c r="J103" i="61"/>
  <c r="H103" i="61"/>
  <c r="O91" i="61"/>
  <c r="O89" i="61"/>
  <c r="I80" i="61"/>
  <c r="N77" i="61"/>
  <c r="N63" i="61"/>
  <c r="O51" i="61"/>
  <c r="N47" i="61"/>
  <c r="N45" i="61"/>
  <c r="M45" i="61"/>
  <c r="L45" i="61"/>
  <c r="K45" i="61"/>
  <c r="J45" i="61"/>
  <c r="I45" i="61"/>
  <c r="H45" i="61"/>
  <c r="O39" i="61"/>
  <c r="N29" i="61"/>
  <c r="N28" i="61"/>
  <c r="N26" i="61"/>
  <c r="J29" i="61"/>
  <c r="O22" i="61"/>
  <c r="O14" i="61"/>
  <c r="O207" i="60"/>
  <c r="O187" i="60"/>
  <c r="O186" i="60"/>
  <c r="O184" i="60"/>
  <c r="O182" i="60"/>
  <c r="O180" i="60"/>
  <c r="O179" i="60"/>
  <c r="O176" i="60"/>
  <c r="O174" i="60"/>
  <c r="O165" i="60"/>
  <c r="O164" i="60"/>
  <c r="O163" i="60"/>
  <c r="O162" i="60"/>
  <c r="O161" i="60"/>
  <c r="I160" i="60"/>
  <c r="O160" i="60"/>
  <c r="O159" i="60"/>
  <c r="I158" i="60"/>
  <c r="I155" i="60"/>
  <c r="I154" i="60"/>
  <c r="O157" i="60"/>
  <c r="O156" i="60"/>
  <c r="N155" i="60"/>
  <c r="M155" i="60"/>
  <c r="L155" i="60"/>
  <c r="K155" i="60"/>
  <c r="J155" i="60"/>
  <c r="H155" i="60"/>
  <c r="N154" i="60"/>
  <c r="M154" i="60"/>
  <c r="L154" i="60"/>
  <c r="K154" i="60"/>
  <c r="J154" i="60"/>
  <c r="H154" i="60"/>
  <c r="N150" i="60"/>
  <c r="M150" i="60"/>
  <c r="I150" i="60"/>
  <c r="L145" i="60"/>
  <c r="H145" i="60"/>
  <c r="O141" i="60"/>
  <c r="M126" i="60"/>
  <c r="M125" i="60"/>
  <c r="M119" i="60"/>
  <c r="I119" i="60"/>
  <c r="H119" i="60"/>
  <c r="M116" i="60"/>
  <c r="J116" i="60"/>
  <c r="J114" i="60"/>
  <c r="M114" i="60"/>
  <c r="K114" i="60"/>
  <c r="K108" i="60"/>
  <c r="K107" i="60"/>
  <c r="J103" i="60"/>
  <c r="L103" i="60"/>
  <c r="K103" i="60"/>
  <c r="O95" i="60"/>
  <c r="J94" i="60"/>
  <c r="O84" i="60"/>
  <c r="N80" i="60"/>
  <c r="O76" i="60"/>
  <c r="O69" i="60"/>
  <c r="O66" i="60"/>
  <c r="I63" i="60"/>
  <c r="O54" i="60"/>
  <c r="O42" i="60"/>
  <c r="K37" i="60"/>
  <c r="N29" i="60"/>
  <c r="K29" i="60"/>
  <c r="O18" i="60"/>
  <c r="L17" i="60"/>
  <c r="J204" i="59"/>
  <c r="O187" i="59"/>
  <c r="O184" i="59"/>
  <c r="O182" i="59"/>
  <c r="O180" i="59"/>
  <c r="O179" i="59"/>
  <c r="O176" i="59"/>
  <c r="O174" i="59"/>
  <c r="O165" i="59"/>
  <c r="O164" i="59"/>
  <c r="O163" i="59"/>
  <c r="O162" i="59"/>
  <c r="O161" i="59"/>
  <c r="I160" i="59"/>
  <c r="O160" i="59"/>
  <c r="O159" i="59"/>
  <c r="I158" i="59"/>
  <c r="O158" i="59"/>
  <c r="O156" i="59"/>
  <c r="O157" i="59"/>
  <c r="O155" i="59"/>
  <c r="O154" i="59"/>
  <c r="I155" i="59"/>
  <c r="I154" i="59"/>
  <c r="N155" i="59"/>
  <c r="M155" i="59"/>
  <c r="L155" i="59"/>
  <c r="K155" i="59"/>
  <c r="J155" i="59"/>
  <c r="H155" i="59"/>
  <c r="N154" i="59"/>
  <c r="M154" i="59"/>
  <c r="L154" i="59"/>
  <c r="K154" i="59"/>
  <c r="J154" i="59"/>
  <c r="H154" i="59"/>
  <c r="O151" i="59"/>
  <c r="L150" i="59"/>
  <c r="L145" i="59"/>
  <c r="H145" i="59"/>
  <c r="O141" i="59"/>
  <c r="J138" i="59"/>
  <c r="N116" i="59"/>
  <c r="L116" i="59"/>
  <c r="K116" i="59"/>
  <c r="J116" i="59"/>
  <c r="H116" i="59"/>
  <c r="O115" i="59"/>
  <c r="O114" i="59"/>
  <c r="K114" i="59"/>
  <c r="O112" i="59"/>
  <c r="O110" i="59"/>
  <c r="L103" i="59"/>
  <c r="K103" i="59"/>
  <c r="J103" i="59"/>
  <c r="H103" i="59"/>
  <c r="O96" i="59"/>
  <c r="O91" i="59"/>
  <c r="J86" i="59"/>
  <c r="O69" i="59"/>
  <c r="O67" i="59"/>
  <c r="I63" i="59"/>
  <c r="O55" i="59"/>
  <c r="K47" i="59"/>
  <c r="K45" i="59"/>
  <c r="H45" i="59"/>
  <c r="O18" i="59"/>
  <c r="L17" i="59"/>
  <c r="N223" i="58"/>
  <c r="O213" i="58"/>
  <c r="O187" i="58"/>
  <c r="O186" i="58"/>
  <c r="O184" i="58"/>
  <c r="O182" i="58"/>
  <c r="O180" i="58"/>
  <c r="O179" i="58"/>
  <c r="O176" i="58"/>
  <c r="O174" i="58"/>
  <c r="O165" i="58"/>
  <c r="O164" i="58"/>
  <c r="O163" i="58"/>
  <c r="O162" i="58"/>
  <c r="O161" i="58"/>
  <c r="I160" i="58"/>
  <c r="O160" i="58"/>
  <c r="O159" i="58"/>
  <c r="I158" i="58"/>
  <c r="I155" i="58"/>
  <c r="I154" i="58"/>
  <c r="O157" i="58"/>
  <c r="O156" i="58"/>
  <c r="N155" i="58"/>
  <c r="J155" i="58"/>
  <c r="H155" i="58"/>
  <c r="N154" i="58"/>
  <c r="J154" i="58"/>
  <c r="H154" i="58"/>
  <c r="N150" i="58"/>
  <c r="M150" i="58"/>
  <c r="J150" i="58"/>
  <c r="I150" i="58"/>
  <c r="K145" i="58"/>
  <c r="O144" i="58"/>
  <c r="O140" i="58"/>
  <c r="J132" i="58"/>
  <c r="L126" i="58"/>
  <c r="L125" i="58"/>
  <c r="I125" i="58"/>
  <c r="M119" i="58"/>
  <c r="I119" i="58"/>
  <c r="N116" i="58"/>
  <c r="M116" i="58"/>
  <c r="N114" i="58"/>
  <c r="K114" i="58"/>
  <c r="J114" i="58"/>
  <c r="I114" i="58"/>
  <c r="O113" i="58"/>
  <c r="O109" i="58"/>
  <c r="L108" i="58"/>
  <c r="L107" i="58"/>
  <c r="N103" i="58"/>
  <c r="L94" i="58"/>
  <c r="O89" i="58"/>
  <c r="O84" i="58"/>
  <c r="M77" i="58"/>
  <c r="L77" i="58"/>
  <c r="K77" i="58"/>
  <c r="I77" i="58"/>
  <c r="O74" i="58"/>
  <c r="N71" i="58"/>
  <c r="O68" i="58"/>
  <c r="O59" i="58"/>
  <c r="N56" i="58"/>
  <c r="N45" i="58"/>
  <c r="M45" i="58"/>
  <c r="K45" i="58"/>
  <c r="J45" i="58"/>
  <c r="I45" i="58"/>
  <c r="O40" i="58"/>
  <c r="J37" i="58"/>
  <c r="N29" i="58"/>
  <c r="K29" i="58"/>
  <c r="O25" i="58"/>
  <c r="O21" i="58"/>
  <c r="O14" i="58"/>
  <c r="O10" i="58"/>
  <c r="O215" i="57"/>
  <c r="O191" i="57"/>
  <c r="O187" i="57"/>
  <c r="O184" i="57"/>
  <c r="O183" i="57"/>
  <c r="O182" i="57"/>
  <c r="O180" i="57"/>
  <c r="O179" i="57"/>
  <c r="O177" i="57"/>
  <c r="O176" i="57"/>
  <c r="O174" i="57"/>
  <c r="O165" i="57"/>
  <c r="O164" i="57"/>
  <c r="O163" i="57"/>
  <c r="O162" i="57"/>
  <c r="O161" i="57"/>
  <c r="I160" i="57"/>
  <c r="O160" i="57"/>
  <c r="O159" i="57"/>
  <c r="I158" i="57"/>
  <c r="O158" i="57"/>
  <c r="O157" i="57"/>
  <c r="O156" i="57"/>
  <c r="N155" i="57"/>
  <c r="M155" i="57"/>
  <c r="L155" i="57"/>
  <c r="K155" i="57"/>
  <c r="J155" i="57"/>
  <c r="I155" i="57"/>
  <c r="I154" i="57"/>
  <c r="H155" i="57"/>
  <c r="N154" i="57"/>
  <c r="M154" i="57"/>
  <c r="L154" i="57"/>
  <c r="K154" i="57"/>
  <c r="J154" i="57"/>
  <c r="H154" i="57"/>
  <c r="H150" i="57"/>
  <c r="J116" i="57"/>
  <c r="H116" i="57"/>
  <c r="O113" i="57"/>
  <c r="L103" i="57"/>
  <c r="I94" i="57"/>
  <c r="O75" i="57"/>
  <c r="O67" i="57"/>
  <c r="O59" i="57"/>
  <c r="O54" i="57"/>
  <c r="K45" i="57"/>
  <c r="O40" i="57"/>
  <c r="O19" i="57"/>
  <c r="O203" i="56"/>
  <c r="O187" i="56"/>
  <c r="O184" i="56"/>
  <c r="O182" i="56"/>
  <c r="O180" i="56"/>
  <c r="O179" i="56"/>
  <c r="O176" i="56"/>
  <c r="M169" i="56"/>
  <c r="O174" i="56"/>
  <c r="O165" i="56"/>
  <c r="O164" i="56"/>
  <c r="O163" i="56"/>
  <c r="O162" i="56"/>
  <c r="O161" i="56"/>
  <c r="I160" i="56"/>
  <c r="O160" i="56"/>
  <c r="O159" i="56"/>
  <c r="I158" i="56"/>
  <c r="O157" i="56"/>
  <c r="O156" i="56"/>
  <c r="N155" i="56"/>
  <c r="M155" i="56"/>
  <c r="L155" i="56"/>
  <c r="K155" i="56"/>
  <c r="K154" i="56"/>
  <c r="J155" i="56"/>
  <c r="H155" i="56"/>
  <c r="N154" i="56"/>
  <c r="M154" i="56"/>
  <c r="L154" i="56"/>
  <c r="J154" i="56"/>
  <c r="H154" i="56"/>
  <c r="I150" i="56"/>
  <c r="M145" i="56"/>
  <c r="I145" i="56"/>
  <c r="O139" i="56"/>
  <c r="N119" i="56"/>
  <c r="J119" i="56"/>
  <c r="M116" i="56"/>
  <c r="L116" i="56"/>
  <c r="K116" i="56"/>
  <c r="I116" i="56"/>
  <c r="H116" i="56"/>
  <c r="L114" i="56"/>
  <c r="K114" i="56"/>
  <c r="H114" i="56"/>
  <c r="O112" i="56"/>
  <c r="M103" i="56"/>
  <c r="L103" i="56"/>
  <c r="K103" i="56"/>
  <c r="I103" i="56"/>
  <c r="H103" i="56"/>
  <c r="O89" i="56"/>
  <c r="N86" i="56"/>
  <c r="O84" i="56"/>
  <c r="N77" i="56"/>
  <c r="J77" i="56"/>
  <c r="I77" i="56"/>
  <c r="O68" i="56"/>
  <c r="O67" i="56"/>
  <c r="O62" i="56"/>
  <c r="N56" i="56"/>
  <c r="O53" i="56"/>
  <c r="L45" i="56"/>
  <c r="K45" i="56"/>
  <c r="H45" i="56"/>
  <c r="L29" i="56"/>
  <c r="K29" i="56"/>
  <c r="H29" i="56"/>
  <c r="O14" i="56"/>
  <c r="O187" i="55"/>
  <c r="O184" i="55"/>
  <c r="O182" i="55"/>
  <c r="O180" i="55"/>
  <c r="O179" i="55"/>
  <c r="O176" i="55"/>
  <c r="O174" i="55"/>
  <c r="O172" i="55"/>
  <c r="O165" i="55"/>
  <c r="O164" i="55"/>
  <c r="O163" i="55"/>
  <c r="O162" i="55"/>
  <c r="O161" i="55"/>
  <c r="I160" i="55"/>
  <c r="O160" i="55"/>
  <c r="O159" i="55"/>
  <c r="I158" i="55"/>
  <c r="O158" i="55"/>
  <c r="O156" i="55"/>
  <c r="O157" i="55"/>
  <c r="O155" i="55"/>
  <c r="O154" i="55"/>
  <c r="N155" i="55"/>
  <c r="M155" i="55"/>
  <c r="L155" i="55"/>
  <c r="K155" i="55"/>
  <c r="J155" i="55"/>
  <c r="H155" i="55"/>
  <c r="N154" i="55"/>
  <c r="M154" i="55"/>
  <c r="L154" i="55"/>
  <c r="K154" i="55"/>
  <c r="J154" i="55"/>
  <c r="H154" i="55"/>
  <c r="H145" i="55"/>
  <c r="N116" i="55"/>
  <c r="N114" i="55"/>
  <c r="M114" i="55"/>
  <c r="L114" i="55"/>
  <c r="J103" i="55"/>
  <c r="H86" i="55"/>
  <c r="O69" i="55"/>
  <c r="O51" i="55"/>
  <c r="M45" i="55"/>
  <c r="N220" i="54"/>
  <c r="M220" i="54"/>
  <c r="L220" i="54"/>
  <c r="K220" i="54"/>
  <c r="J220" i="54"/>
  <c r="H220" i="54"/>
  <c r="I220" i="54"/>
  <c r="O220" i="54"/>
  <c r="N218" i="54"/>
  <c r="M218" i="54"/>
  <c r="L218" i="54"/>
  <c r="K218" i="54"/>
  <c r="J218" i="54"/>
  <c r="I218" i="54"/>
  <c r="H218" i="54"/>
  <c r="N215" i="54"/>
  <c r="M215" i="54"/>
  <c r="L215" i="54"/>
  <c r="K215" i="54"/>
  <c r="J215" i="54"/>
  <c r="I215" i="54"/>
  <c r="H215" i="54"/>
  <c r="N213" i="54"/>
  <c r="M213" i="54"/>
  <c r="L213" i="54"/>
  <c r="K213" i="54"/>
  <c r="J213" i="54"/>
  <c r="I213" i="54"/>
  <c r="H213" i="54"/>
  <c r="O213" i="54"/>
  <c r="N209" i="54"/>
  <c r="M209" i="54"/>
  <c r="L209" i="54"/>
  <c r="K209" i="54"/>
  <c r="J209" i="54"/>
  <c r="H209" i="54"/>
  <c r="I209" i="54"/>
  <c r="O209" i="54"/>
  <c r="N207" i="54"/>
  <c r="N204" i="54"/>
  <c r="M207" i="54"/>
  <c r="L207" i="54"/>
  <c r="K207" i="54"/>
  <c r="J207" i="54"/>
  <c r="J204" i="54"/>
  <c r="I207" i="54"/>
  <c r="H207" i="54"/>
  <c r="N203" i="54"/>
  <c r="M203" i="54"/>
  <c r="L203" i="54"/>
  <c r="K203" i="54"/>
  <c r="J203" i="54"/>
  <c r="I203" i="54"/>
  <c r="H203" i="54"/>
  <c r="N201" i="54"/>
  <c r="M201" i="54"/>
  <c r="L201" i="54"/>
  <c r="K201" i="54"/>
  <c r="J201" i="54"/>
  <c r="I201" i="54"/>
  <c r="H201" i="54"/>
  <c r="N198" i="54"/>
  <c r="M198" i="54"/>
  <c r="L198" i="54"/>
  <c r="K198" i="54"/>
  <c r="J198" i="54"/>
  <c r="H198" i="54"/>
  <c r="I198" i="54"/>
  <c r="O198" i="54"/>
  <c r="N196" i="54"/>
  <c r="M196" i="54"/>
  <c r="L196" i="54"/>
  <c r="K196" i="54"/>
  <c r="J196" i="54"/>
  <c r="I196" i="54"/>
  <c r="H196" i="54"/>
  <c r="N193" i="54"/>
  <c r="M193" i="54"/>
  <c r="L193" i="54"/>
  <c r="K193" i="54"/>
  <c r="J193" i="54"/>
  <c r="I193" i="54"/>
  <c r="H193" i="54"/>
  <c r="N191" i="54"/>
  <c r="M191" i="54"/>
  <c r="L191" i="54"/>
  <c r="L188" i="54"/>
  <c r="K191" i="54"/>
  <c r="J191" i="54"/>
  <c r="I191" i="54"/>
  <c r="H191" i="54"/>
  <c r="O191" i="54"/>
  <c r="N186" i="54"/>
  <c r="M186" i="54"/>
  <c r="L186" i="54"/>
  <c r="K186" i="54"/>
  <c r="J186" i="54"/>
  <c r="I186" i="54"/>
  <c r="H186" i="54"/>
  <c r="N185" i="54"/>
  <c r="M185" i="54"/>
  <c r="L185" i="54"/>
  <c r="K185" i="54"/>
  <c r="J185" i="54"/>
  <c r="I185" i="54"/>
  <c r="H185" i="54"/>
  <c r="N183" i="54"/>
  <c r="M183" i="54"/>
  <c r="L183" i="54"/>
  <c r="K183" i="54"/>
  <c r="J183" i="54"/>
  <c r="I183" i="54"/>
  <c r="H183" i="54"/>
  <c r="N181" i="54"/>
  <c r="M181" i="54"/>
  <c r="L181" i="54"/>
  <c r="K181" i="54"/>
  <c r="J181" i="54"/>
  <c r="I181" i="54"/>
  <c r="H181" i="54"/>
  <c r="N178" i="54"/>
  <c r="M178" i="54"/>
  <c r="L178" i="54"/>
  <c r="K178" i="54"/>
  <c r="J178" i="54"/>
  <c r="I178" i="54"/>
  <c r="H178" i="54"/>
  <c r="N177" i="54"/>
  <c r="M177" i="54"/>
  <c r="L177" i="54"/>
  <c r="K177" i="54"/>
  <c r="J177" i="54"/>
  <c r="I177" i="54"/>
  <c r="H177" i="54"/>
  <c r="N175" i="54"/>
  <c r="M175" i="54"/>
  <c r="L175" i="54"/>
  <c r="K175" i="54"/>
  <c r="J175" i="54"/>
  <c r="I175" i="54"/>
  <c r="H175" i="54"/>
  <c r="N173" i="54"/>
  <c r="M173" i="54"/>
  <c r="L173" i="54"/>
  <c r="K173" i="54"/>
  <c r="J173" i="54"/>
  <c r="I173" i="54"/>
  <c r="H173" i="54"/>
  <c r="N172" i="54"/>
  <c r="M172" i="54"/>
  <c r="L172" i="54"/>
  <c r="K172" i="54"/>
  <c r="J172" i="54"/>
  <c r="I172" i="54"/>
  <c r="H172" i="54"/>
  <c r="O172" i="54"/>
  <c r="N171" i="54"/>
  <c r="M171" i="54"/>
  <c r="L171" i="54"/>
  <c r="K171" i="54"/>
  <c r="J171" i="54"/>
  <c r="I171" i="54"/>
  <c r="H171" i="54"/>
  <c r="N152" i="54"/>
  <c r="M152" i="54"/>
  <c r="M151" i="54"/>
  <c r="M150" i="54"/>
  <c r="L152" i="54"/>
  <c r="K152" i="54"/>
  <c r="J152" i="54"/>
  <c r="J151" i="54"/>
  <c r="J150" i="54"/>
  <c r="I152" i="54"/>
  <c r="I151" i="54"/>
  <c r="I150" i="54"/>
  <c r="H152" i="54"/>
  <c r="N151" i="54"/>
  <c r="L151" i="54"/>
  <c r="K151" i="54"/>
  <c r="H151" i="54"/>
  <c r="O151" i="54"/>
  <c r="M145" i="54"/>
  <c r="L145" i="54"/>
  <c r="K145" i="54"/>
  <c r="N144" i="54"/>
  <c r="M144" i="54"/>
  <c r="L144" i="54"/>
  <c r="K144" i="54"/>
  <c r="J144" i="54"/>
  <c r="I144" i="54"/>
  <c r="H144" i="54"/>
  <c r="N143" i="54"/>
  <c r="M143" i="54"/>
  <c r="L143" i="54"/>
  <c r="K143" i="54"/>
  <c r="J143" i="54"/>
  <c r="I143" i="54"/>
  <c r="H143" i="54"/>
  <c r="N142" i="54"/>
  <c r="M142" i="54"/>
  <c r="L142" i="54"/>
  <c r="K142" i="54"/>
  <c r="J142" i="54"/>
  <c r="I142" i="54"/>
  <c r="H142" i="54"/>
  <c r="H141" i="54"/>
  <c r="H138" i="54"/>
  <c r="N141" i="54"/>
  <c r="M141" i="54"/>
  <c r="L141" i="54"/>
  <c r="K141" i="54"/>
  <c r="K139" i="54"/>
  <c r="K140" i="54"/>
  <c r="K138" i="54"/>
  <c r="J141" i="54"/>
  <c r="I141" i="54"/>
  <c r="O141" i="54"/>
  <c r="N140" i="54"/>
  <c r="N139" i="54"/>
  <c r="N138" i="54"/>
  <c r="M140" i="54"/>
  <c r="L140" i="54"/>
  <c r="J140" i="54"/>
  <c r="J139" i="54"/>
  <c r="J138" i="54"/>
  <c r="I140" i="54"/>
  <c r="H140" i="54"/>
  <c r="M139" i="54"/>
  <c r="M138" i="54"/>
  <c r="L139" i="54"/>
  <c r="I139" i="54"/>
  <c r="H139" i="54"/>
  <c r="N137" i="54"/>
  <c r="M137" i="54"/>
  <c r="L137" i="54"/>
  <c r="K137" i="54"/>
  <c r="J137" i="54"/>
  <c r="I137" i="54"/>
  <c r="H137" i="54"/>
  <c r="O137" i="54"/>
  <c r="N136" i="54"/>
  <c r="M136" i="54"/>
  <c r="L136" i="54"/>
  <c r="K136" i="54"/>
  <c r="J136" i="54"/>
  <c r="I136" i="54"/>
  <c r="H136" i="54"/>
  <c r="O136" i="54"/>
  <c r="N135" i="54"/>
  <c r="N133" i="54"/>
  <c r="N134" i="54"/>
  <c r="N132" i="54"/>
  <c r="M135" i="54"/>
  <c r="L135" i="54"/>
  <c r="K135" i="54"/>
  <c r="J135" i="54"/>
  <c r="J133" i="54"/>
  <c r="J134" i="54"/>
  <c r="J132" i="54"/>
  <c r="I135" i="54"/>
  <c r="H135" i="54"/>
  <c r="M134" i="54"/>
  <c r="M133" i="54"/>
  <c r="M132" i="54"/>
  <c r="L134" i="54"/>
  <c r="K134" i="54"/>
  <c r="I134" i="54"/>
  <c r="I133" i="54"/>
  <c r="I132" i="54"/>
  <c r="H134" i="54"/>
  <c r="L133" i="54"/>
  <c r="L132" i="54"/>
  <c r="K133" i="54"/>
  <c r="H133" i="54"/>
  <c r="N129" i="54"/>
  <c r="M129" i="54"/>
  <c r="L129" i="54"/>
  <c r="K129" i="54"/>
  <c r="K127" i="54"/>
  <c r="K128" i="54"/>
  <c r="K126" i="54"/>
  <c r="K125" i="54"/>
  <c r="J129" i="54"/>
  <c r="H129" i="54"/>
  <c r="I129" i="54"/>
  <c r="O129" i="54"/>
  <c r="N128" i="54"/>
  <c r="N127" i="54"/>
  <c r="N126" i="54"/>
  <c r="N125" i="54"/>
  <c r="M128" i="54"/>
  <c r="L128" i="54"/>
  <c r="J128" i="54"/>
  <c r="J127" i="54"/>
  <c r="J126" i="54"/>
  <c r="J125" i="54"/>
  <c r="I128" i="54"/>
  <c r="H128" i="54"/>
  <c r="M127" i="54"/>
  <c r="M126" i="54"/>
  <c r="M125" i="54"/>
  <c r="L127" i="54"/>
  <c r="L126" i="54"/>
  <c r="L125" i="54"/>
  <c r="I127" i="54"/>
  <c r="I126" i="54"/>
  <c r="I125" i="54"/>
  <c r="H127" i="54"/>
  <c r="H126" i="54"/>
  <c r="H125" i="54"/>
  <c r="N121" i="54"/>
  <c r="N120" i="54"/>
  <c r="N119" i="54"/>
  <c r="M121" i="54"/>
  <c r="L121" i="54"/>
  <c r="K121" i="54"/>
  <c r="J119" i="54"/>
  <c r="M120" i="54"/>
  <c r="M119" i="54"/>
  <c r="L120" i="54"/>
  <c r="L119" i="54"/>
  <c r="K120" i="54"/>
  <c r="N117" i="54"/>
  <c r="M117" i="54"/>
  <c r="M116" i="54"/>
  <c r="L117" i="54"/>
  <c r="L116" i="54"/>
  <c r="K117" i="54"/>
  <c r="J117" i="54"/>
  <c r="I117" i="54"/>
  <c r="I116" i="54"/>
  <c r="H117" i="54"/>
  <c r="N115" i="54"/>
  <c r="N114" i="54"/>
  <c r="M115" i="54"/>
  <c r="L115" i="54"/>
  <c r="L114" i="54"/>
  <c r="K115" i="54"/>
  <c r="K114" i="54"/>
  <c r="J115" i="54"/>
  <c r="J114" i="54"/>
  <c r="I115" i="54"/>
  <c r="H115" i="54"/>
  <c r="N113" i="54"/>
  <c r="M113" i="54"/>
  <c r="L113" i="54"/>
  <c r="K113" i="54"/>
  <c r="J113" i="54"/>
  <c r="I113" i="54"/>
  <c r="O113" i="54"/>
  <c r="H113" i="54"/>
  <c r="N112" i="54"/>
  <c r="M112" i="54"/>
  <c r="L112" i="54"/>
  <c r="K112" i="54"/>
  <c r="J112" i="54"/>
  <c r="I112" i="54"/>
  <c r="O112" i="54"/>
  <c r="H112" i="54"/>
  <c r="N111" i="54"/>
  <c r="M111" i="54"/>
  <c r="L111" i="54"/>
  <c r="K111" i="54"/>
  <c r="J111" i="54"/>
  <c r="I111" i="54"/>
  <c r="H111" i="54"/>
  <c r="N110" i="54"/>
  <c r="M110" i="54"/>
  <c r="L110" i="54"/>
  <c r="L109" i="54"/>
  <c r="L108" i="54"/>
  <c r="L107" i="54"/>
  <c r="K110" i="54"/>
  <c r="K109" i="54"/>
  <c r="K108" i="54"/>
  <c r="K107" i="54"/>
  <c r="J110" i="54"/>
  <c r="I110" i="54"/>
  <c r="H110" i="54"/>
  <c r="N109" i="54"/>
  <c r="N108" i="54"/>
  <c r="M109" i="54"/>
  <c r="J109" i="54"/>
  <c r="H109" i="54"/>
  <c r="I109" i="54"/>
  <c r="O109" i="54"/>
  <c r="N104" i="54"/>
  <c r="M104" i="54"/>
  <c r="M103" i="54"/>
  <c r="L104" i="54"/>
  <c r="L103" i="54"/>
  <c r="K104" i="54"/>
  <c r="K103" i="54"/>
  <c r="H103" i="54"/>
  <c r="N100" i="54"/>
  <c r="M100" i="54"/>
  <c r="L100" i="54"/>
  <c r="K100" i="54"/>
  <c r="J100" i="54"/>
  <c r="H100" i="54"/>
  <c r="I100" i="54"/>
  <c r="O100" i="54"/>
  <c r="N99" i="54"/>
  <c r="M99" i="54"/>
  <c r="L99" i="54"/>
  <c r="K99" i="54"/>
  <c r="J99" i="54"/>
  <c r="I99" i="54"/>
  <c r="H99" i="54"/>
  <c r="N98" i="54"/>
  <c r="M98" i="54"/>
  <c r="M95" i="54"/>
  <c r="M96" i="54"/>
  <c r="M97" i="54"/>
  <c r="M94" i="54"/>
  <c r="L98" i="54"/>
  <c r="K98" i="54"/>
  <c r="J98" i="54"/>
  <c r="I98" i="54"/>
  <c r="I95" i="54"/>
  <c r="I96" i="54"/>
  <c r="I97" i="54"/>
  <c r="I94" i="54"/>
  <c r="H98" i="54"/>
  <c r="N97" i="54"/>
  <c r="L97" i="54"/>
  <c r="L95" i="54"/>
  <c r="L96" i="54"/>
  <c r="L94" i="54"/>
  <c r="K97" i="54"/>
  <c r="J97" i="54"/>
  <c r="H97" i="54"/>
  <c r="O97" i="54"/>
  <c r="N96" i="54"/>
  <c r="K96" i="54"/>
  <c r="K95" i="54"/>
  <c r="K94" i="54"/>
  <c r="J96" i="54"/>
  <c r="H96" i="54"/>
  <c r="O96" i="54"/>
  <c r="N95" i="54"/>
  <c r="N94" i="54"/>
  <c r="J95" i="54"/>
  <c r="J94" i="54"/>
  <c r="H95" i="54"/>
  <c r="N93" i="54"/>
  <c r="M93" i="54"/>
  <c r="M91" i="54"/>
  <c r="M92" i="54"/>
  <c r="M90" i="54"/>
  <c r="L93" i="54"/>
  <c r="K93" i="54"/>
  <c r="J93" i="54"/>
  <c r="I93" i="54"/>
  <c r="I91" i="54"/>
  <c r="I92" i="54"/>
  <c r="I90" i="54"/>
  <c r="H93" i="54"/>
  <c r="N92" i="54"/>
  <c r="L92" i="54"/>
  <c r="K92" i="54"/>
  <c r="J92" i="54"/>
  <c r="H92" i="54"/>
  <c r="O92" i="54"/>
  <c r="N91" i="54"/>
  <c r="N90" i="54"/>
  <c r="L91" i="54"/>
  <c r="K91" i="54"/>
  <c r="K90" i="54"/>
  <c r="J91" i="54"/>
  <c r="J90" i="54"/>
  <c r="H91" i="54"/>
  <c r="H90" i="54"/>
  <c r="N89" i="54"/>
  <c r="N87" i="54"/>
  <c r="N88" i="54"/>
  <c r="N86" i="54"/>
  <c r="M89" i="54"/>
  <c r="L89" i="54"/>
  <c r="K89" i="54"/>
  <c r="J89" i="54"/>
  <c r="I89" i="54"/>
  <c r="O89" i="54"/>
  <c r="H89" i="54"/>
  <c r="M88" i="54"/>
  <c r="M87" i="54"/>
  <c r="M86" i="54"/>
  <c r="L88" i="54"/>
  <c r="K88" i="54"/>
  <c r="J88" i="54"/>
  <c r="I88" i="54"/>
  <c r="I87" i="54"/>
  <c r="I86" i="54"/>
  <c r="H88" i="54"/>
  <c r="L87" i="54"/>
  <c r="L86" i="54"/>
  <c r="K87" i="54"/>
  <c r="K86" i="54"/>
  <c r="J87" i="54"/>
  <c r="H87" i="54"/>
  <c r="O87" i="54"/>
  <c r="N85" i="54"/>
  <c r="M85" i="54"/>
  <c r="L85" i="54"/>
  <c r="K85" i="54"/>
  <c r="J85" i="54"/>
  <c r="I85" i="54"/>
  <c r="O85" i="54"/>
  <c r="H85" i="54"/>
  <c r="N84" i="54"/>
  <c r="M84" i="54"/>
  <c r="L84" i="54"/>
  <c r="K84" i="54"/>
  <c r="J84" i="54"/>
  <c r="I84" i="54"/>
  <c r="O84" i="54"/>
  <c r="H84" i="54"/>
  <c r="N83" i="54"/>
  <c r="M83" i="54"/>
  <c r="M81" i="54"/>
  <c r="M82" i="54"/>
  <c r="M80" i="54"/>
  <c r="L83" i="54"/>
  <c r="K83" i="54"/>
  <c r="J83" i="54"/>
  <c r="I83" i="54"/>
  <c r="H83" i="54"/>
  <c r="N82" i="54"/>
  <c r="L82" i="54"/>
  <c r="L81" i="54"/>
  <c r="L80" i="54"/>
  <c r="K82" i="54"/>
  <c r="J82" i="54"/>
  <c r="I82" i="54"/>
  <c r="H82" i="54"/>
  <c r="O82" i="54"/>
  <c r="N81" i="54"/>
  <c r="K81" i="54"/>
  <c r="K80" i="54"/>
  <c r="J81" i="54"/>
  <c r="I81" i="54"/>
  <c r="H81" i="54"/>
  <c r="N79" i="54"/>
  <c r="N78" i="54"/>
  <c r="N77" i="54"/>
  <c r="M79" i="54"/>
  <c r="L79" i="54"/>
  <c r="K79" i="54"/>
  <c r="J79" i="54"/>
  <c r="J78" i="54"/>
  <c r="J77" i="54"/>
  <c r="I79" i="54"/>
  <c r="H79" i="54"/>
  <c r="M78" i="54"/>
  <c r="M77" i="54"/>
  <c r="L78" i="54"/>
  <c r="K78" i="54"/>
  <c r="I78" i="54"/>
  <c r="H78" i="54"/>
  <c r="H77" i="54"/>
  <c r="N76" i="54"/>
  <c r="M76" i="54"/>
  <c r="L76" i="54"/>
  <c r="K76" i="54"/>
  <c r="J76" i="54"/>
  <c r="I76" i="54"/>
  <c r="H76" i="54"/>
  <c r="O76" i="54"/>
  <c r="N75" i="54"/>
  <c r="M75" i="54"/>
  <c r="L75" i="54"/>
  <c r="K75" i="54"/>
  <c r="K72" i="54"/>
  <c r="K73" i="54"/>
  <c r="K74" i="54"/>
  <c r="K71" i="54"/>
  <c r="J75" i="54"/>
  <c r="I75" i="54"/>
  <c r="O75" i="54"/>
  <c r="H75" i="54"/>
  <c r="N74" i="54"/>
  <c r="N72" i="54"/>
  <c r="N73" i="54"/>
  <c r="N71" i="54"/>
  <c r="M74" i="54"/>
  <c r="L74" i="54"/>
  <c r="J74" i="54"/>
  <c r="J72" i="54"/>
  <c r="J73" i="54"/>
  <c r="J71" i="54"/>
  <c r="I74" i="54"/>
  <c r="H74" i="54"/>
  <c r="M73" i="54"/>
  <c r="M72" i="54"/>
  <c r="M71" i="54"/>
  <c r="M70" i="54"/>
  <c r="L73" i="54"/>
  <c r="I73" i="54"/>
  <c r="I72" i="54"/>
  <c r="I71" i="54"/>
  <c r="H73" i="54"/>
  <c r="L72" i="54"/>
  <c r="L71" i="54"/>
  <c r="H72" i="54"/>
  <c r="H71" i="54"/>
  <c r="N69" i="54"/>
  <c r="M69" i="54"/>
  <c r="L69" i="54"/>
  <c r="K69" i="54"/>
  <c r="J69" i="54"/>
  <c r="I69" i="54"/>
  <c r="O69" i="54"/>
  <c r="H69" i="54"/>
  <c r="N68" i="54"/>
  <c r="M68" i="54"/>
  <c r="L68" i="54"/>
  <c r="K68" i="54"/>
  <c r="J68" i="54"/>
  <c r="I68" i="54"/>
  <c r="H68" i="54"/>
  <c r="N67" i="54"/>
  <c r="M67" i="54"/>
  <c r="M64" i="54"/>
  <c r="M65" i="54"/>
  <c r="M66" i="54"/>
  <c r="M63" i="54"/>
  <c r="L67" i="54"/>
  <c r="K67" i="54"/>
  <c r="J67" i="54"/>
  <c r="I67" i="54"/>
  <c r="H67" i="54"/>
  <c r="N66" i="54"/>
  <c r="L66" i="54"/>
  <c r="L64" i="54"/>
  <c r="L65" i="54"/>
  <c r="L63" i="54"/>
  <c r="K66" i="54"/>
  <c r="J66" i="54"/>
  <c r="I66" i="54"/>
  <c r="H66" i="54"/>
  <c r="O66" i="54"/>
  <c r="N65" i="54"/>
  <c r="K65" i="54"/>
  <c r="K64" i="54"/>
  <c r="K63" i="54"/>
  <c r="J65" i="54"/>
  <c r="H65" i="54"/>
  <c r="I65" i="54"/>
  <c r="O65" i="54"/>
  <c r="N64" i="54"/>
  <c r="N63" i="54"/>
  <c r="J64" i="54"/>
  <c r="I64" i="54"/>
  <c r="H64" i="54"/>
  <c r="N62" i="54"/>
  <c r="M62" i="54"/>
  <c r="L62" i="54"/>
  <c r="K62" i="54"/>
  <c r="J62" i="54"/>
  <c r="I62" i="54"/>
  <c r="O62" i="54"/>
  <c r="H62" i="54"/>
  <c r="N61" i="54"/>
  <c r="M61" i="54"/>
  <c r="L61" i="54"/>
  <c r="K61" i="54"/>
  <c r="J61" i="54"/>
  <c r="I61" i="54"/>
  <c r="H61" i="54"/>
  <c r="N60" i="54"/>
  <c r="M60" i="54"/>
  <c r="L60" i="54"/>
  <c r="K60" i="54"/>
  <c r="K57" i="54"/>
  <c r="K58" i="54"/>
  <c r="K59" i="54"/>
  <c r="K56" i="54"/>
  <c r="J60" i="54"/>
  <c r="I60" i="54"/>
  <c r="O60" i="54"/>
  <c r="H60" i="54"/>
  <c r="N59" i="54"/>
  <c r="N57" i="54"/>
  <c r="N58" i="54"/>
  <c r="N56" i="54"/>
  <c r="M59" i="54"/>
  <c r="L59" i="54"/>
  <c r="J59" i="54"/>
  <c r="J57" i="54"/>
  <c r="J58" i="54"/>
  <c r="J56" i="54"/>
  <c r="I59" i="54"/>
  <c r="H59" i="54"/>
  <c r="M58" i="54"/>
  <c r="M57" i="54"/>
  <c r="M56" i="54"/>
  <c r="L58" i="54"/>
  <c r="I58" i="54"/>
  <c r="I57" i="54"/>
  <c r="I56" i="54"/>
  <c r="H58" i="54"/>
  <c r="L57" i="54"/>
  <c r="L56" i="54"/>
  <c r="H57" i="54"/>
  <c r="N55" i="54"/>
  <c r="M55" i="54"/>
  <c r="L55" i="54"/>
  <c r="K55" i="54"/>
  <c r="J55" i="54"/>
  <c r="I55" i="54"/>
  <c r="H55" i="54"/>
  <c r="N54" i="54"/>
  <c r="M54" i="54"/>
  <c r="L54" i="54"/>
  <c r="K54" i="54"/>
  <c r="J54" i="54"/>
  <c r="H54" i="54"/>
  <c r="I54" i="54"/>
  <c r="O54" i="54"/>
  <c r="N53" i="54"/>
  <c r="M53" i="54"/>
  <c r="L53" i="54"/>
  <c r="K53" i="54"/>
  <c r="J53" i="54"/>
  <c r="I53" i="54"/>
  <c r="O53" i="54"/>
  <c r="H53" i="54"/>
  <c r="N52" i="54"/>
  <c r="M52" i="54"/>
  <c r="L52" i="54"/>
  <c r="K52" i="54"/>
  <c r="J52" i="54"/>
  <c r="I52" i="54"/>
  <c r="H52" i="54"/>
  <c r="O52" i="54"/>
  <c r="N51" i="54"/>
  <c r="M51" i="54"/>
  <c r="L51" i="54"/>
  <c r="K51" i="54"/>
  <c r="J51" i="54"/>
  <c r="I51" i="54"/>
  <c r="H51" i="54"/>
  <c r="O51" i="54"/>
  <c r="N50" i="54"/>
  <c r="N48" i="54"/>
  <c r="N49" i="54"/>
  <c r="N47" i="54"/>
  <c r="M50" i="54"/>
  <c r="L50" i="54"/>
  <c r="K50" i="54"/>
  <c r="J50" i="54"/>
  <c r="H50" i="54"/>
  <c r="I50" i="54"/>
  <c r="O50" i="54"/>
  <c r="M49" i="54"/>
  <c r="M48" i="54"/>
  <c r="M47" i="54"/>
  <c r="L49" i="54"/>
  <c r="K49" i="54"/>
  <c r="J49" i="54"/>
  <c r="I49" i="54"/>
  <c r="I48" i="54"/>
  <c r="I47" i="54"/>
  <c r="H49" i="54"/>
  <c r="L48" i="54"/>
  <c r="L47" i="54"/>
  <c r="K48" i="54"/>
  <c r="J48" i="54"/>
  <c r="H48" i="54"/>
  <c r="O48" i="54"/>
  <c r="N46" i="54"/>
  <c r="N45" i="54"/>
  <c r="M46" i="54"/>
  <c r="L46" i="54"/>
  <c r="K46" i="54"/>
  <c r="J46" i="54"/>
  <c r="J45" i="54"/>
  <c r="I46" i="54"/>
  <c r="H46" i="54"/>
  <c r="N44" i="54"/>
  <c r="M44" i="54"/>
  <c r="L44" i="54"/>
  <c r="K44" i="54"/>
  <c r="J44" i="54"/>
  <c r="I44" i="54"/>
  <c r="H44" i="54"/>
  <c r="N43" i="54"/>
  <c r="M43" i="54"/>
  <c r="L43" i="54"/>
  <c r="K43" i="54"/>
  <c r="J43" i="54"/>
  <c r="I43" i="54"/>
  <c r="H43" i="54"/>
  <c r="O43" i="54"/>
  <c r="N42" i="54"/>
  <c r="M42" i="54"/>
  <c r="L42" i="54"/>
  <c r="K42" i="54"/>
  <c r="J42" i="54"/>
  <c r="I42" i="54"/>
  <c r="H42" i="54"/>
  <c r="O42" i="54"/>
  <c r="N41" i="54"/>
  <c r="M41" i="54"/>
  <c r="L41" i="54"/>
  <c r="K41" i="54"/>
  <c r="K38" i="54"/>
  <c r="K39" i="54"/>
  <c r="K40" i="54"/>
  <c r="K37" i="54"/>
  <c r="J41" i="54"/>
  <c r="H41" i="54"/>
  <c r="I41" i="54"/>
  <c r="O41" i="54"/>
  <c r="N40" i="54"/>
  <c r="N38" i="54"/>
  <c r="N39" i="54"/>
  <c r="N37" i="54"/>
  <c r="M40" i="54"/>
  <c r="L40" i="54"/>
  <c r="J40" i="54"/>
  <c r="J38" i="54"/>
  <c r="J39" i="54"/>
  <c r="J37" i="54"/>
  <c r="I40" i="54"/>
  <c r="H40" i="54"/>
  <c r="M39" i="54"/>
  <c r="M38" i="54"/>
  <c r="M37" i="54"/>
  <c r="M45" i="54"/>
  <c r="M36" i="54"/>
  <c r="L39" i="54"/>
  <c r="I39" i="54"/>
  <c r="I38" i="54"/>
  <c r="I37" i="54"/>
  <c r="H39" i="54"/>
  <c r="L38" i="54"/>
  <c r="L37" i="54"/>
  <c r="H38" i="54"/>
  <c r="N35" i="54"/>
  <c r="M35" i="54"/>
  <c r="L35" i="54"/>
  <c r="K35" i="54"/>
  <c r="J35" i="54"/>
  <c r="H35" i="54"/>
  <c r="I35" i="54"/>
  <c r="O35" i="54"/>
  <c r="N34" i="54"/>
  <c r="M34" i="54"/>
  <c r="L34" i="54"/>
  <c r="K34" i="54"/>
  <c r="J34" i="54"/>
  <c r="I34" i="54"/>
  <c r="H34" i="54"/>
  <c r="N33" i="54"/>
  <c r="M33" i="54"/>
  <c r="L33" i="54"/>
  <c r="L32" i="54"/>
  <c r="K33" i="54"/>
  <c r="J33" i="54"/>
  <c r="I33" i="54"/>
  <c r="H33" i="54"/>
  <c r="H32" i="54"/>
  <c r="N31" i="54"/>
  <c r="M31" i="54"/>
  <c r="L31" i="54"/>
  <c r="K31" i="54"/>
  <c r="J31" i="54"/>
  <c r="I31" i="54"/>
  <c r="H31" i="54"/>
  <c r="O31" i="54"/>
  <c r="N30" i="54"/>
  <c r="N29" i="54"/>
  <c r="M30" i="54"/>
  <c r="L30" i="54"/>
  <c r="K30" i="54"/>
  <c r="K29" i="54"/>
  <c r="J30" i="54"/>
  <c r="J29" i="54"/>
  <c r="I30" i="54"/>
  <c r="H30" i="54"/>
  <c r="O30" i="54"/>
  <c r="N25" i="54"/>
  <c r="M25" i="54"/>
  <c r="L25" i="54"/>
  <c r="K25" i="54"/>
  <c r="J25" i="54"/>
  <c r="I25" i="54"/>
  <c r="H25" i="54"/>
  <c r="N24" i="54"/>
  <c r="M24" i="54"/>
  <c r="L24" i="54"/>
  <c r="K24" i="54"/>
  <c r="J24" i="54"/>
  <c r="I24" i="54"/>
  <c r="H24" i="54"/>
  <c r="N23" i="54"/>
  <c r="M23" i="54"/>
  <c r="L23" i="54"/>
  <c r="K23" i="54"/>
  <c r="J23" i="54"/>
  <c r="I23" i="54"/>
  <c r="H23" i="54"/>
  <c r="O23" i="54"/>
  <c r="N22" i="54"/>
  <c r="M22" i="54"/>
  <c r="L22" i="54"/>
  <c r="K22" i="54"/>
  <c r="J22" i="54"/>
  <c r="H22" i="54"/>
  <c r="I22" i="54"/>
  <c r="O22" i="54"/>
  <c r="N21" i="54"/>
  <c r="M21" i="54"/>
  <c r="L21" i="54"/>
  <c r="K21" i="54"/>
  <c r="J21" i="54"/>
  <c r="I21" i="54"/>
  <c r="H21" i="54"/>
  <c r="N20" i="54"/>
  <c r="M20" i="54"/>
  <c r="M18" i="54"/>
  <c r="M19" i="54"/>
  <c r="M17" i="54"/>
  <c r="L20" i="54"/>
  <c r="K20" i="54"/>
  <c r="J20" i="54"/>
  <c r="I20" i="54"/>
  <c r="H20" i="54"/>
  <c r="O20" i="54"/>
  <c r="N19" i="54"/>
  <c r="L19" i="54"/>
  <c r="L18" i="54"/>
  <c r="L17" i="54"/>
  <c r="K19" i="54"/>
  <c r="J19" i="54"/>
  <c r="I19" i="54"/>
  <c r="I18" i="54"/>
  <c r="I17" i="54"/>
  <c r="H19" i="54"/>
  <c r="O19" i="54"/>
  <c r="N18" i="54"/>
  <c r="K18" i="54"/>
  <c r="K17" i="54"/>
  <c r="J18" i="54"/>
  <c r="H18" i="54"/>
  <c r="N14" i="54"/>
  <c r="M14" i="54"/>
  <c r="L14" i="54"/>
  <c r="K14" i="54"/>
  <c r="J14" i="54"/>
  <c r="I14" i="54"/>
  <c r="H14" i="54"/>
  <c r="N13" i="54"/>
  <c r="M13" i="54"/>
  <c r="M10" i="54"/>
  <c r="M11" i="54"/>
  <c r="M12" i="54"/>
  <c r="M9" i="54"/>
  <c r="M8" i="54"/>
  <c r="L13" i="54"/>
  <c r="K13" i="54"/>
  <c r="J13" i="54"/>
  <c r="I13" i="54"/>
  <c r="I10" i="54"/>
  <c r="I11" i="54"/>
  <c r="I12" i="54"/>
  <c r="I9" i="54"/>
  <c r="I8" i="54"/>
  <c r="H13" i="54"/>
  <c r="N12" i="54"/>
  <c r="L12" i="54"/>
  <c r="L10" i="54"/>
  <c r="L11" i="54"/>
  <c r="L9" i="54"/>
  <c r="L8" i="54"/>
  <c r="K12" i="54"/>
  <c r="J12" i="54"/>
  <c r="H12" i="54"/>
  <c r="H10" i="54"/>
  <c r="H11" i="54"/>
  <c r="H9" i="54"/>
  <c r="H8" i="54"/>
  <c r="N11" i="54"/>
  <c r="K11" i="54"/>
  <c r="K10" i="54"/>
  <c r="K9" i="54"/>
  <c r="K8" i="54"/>
  <c r="J11" i="54"/>
  <c r="O11" i="54"/>
  <c r="N10" i="54"/>
  <c r="J10" i="54"/>
  <c r="N220" i="53"/>
  <c r="M220" i="53"/>
  <c r="L220" i="53"/>
  <c r="K220" i="53"/>
  <c r="J220" i="53"/>
  <c r="I220" i="53"/>
  <c r="H220" i="53"/>
  <c r="N218" i="53"/>
  <c r="M218" i="53"/>
  <c r="L218" i="53"/>
  <c r="K218" i="53"/>
  <c r="J218" i="53"/>
  <c r="I218" i="53"/>
  <c r="H218" i="53"/>
  <c r="O218" i="53"/>
  <c r="N215" i="53"/>
  <c r="M215" i="53"/>
  <c r="L215" i="53"/>
  <c r="K215" i="53"/>
  <c r="J215" i="53"/>
  <c r="I215" i="53"/>
  <c r="H215" i="53"/>
  <c r="N213" i="53"/>
  <c r="M213" i="53"/>
  <c r="L213" i="53"/>
  <c r="K213" i="53"/>
  <c r="J213" i="53"/>
  <c r="I213" i="53"/>
  <c r="H213" i="53"/>
  <c r="N209" i="53"/>
  <c r="M209" i="53"/>
  <c r="M207" i="53"/>
  <c r="M204" i="53"/>
  <c r="L209" i="53"/>
  <c r="K209" i="53"/>
  <c r="J209" i="53"/>
  <c r="I209" i="53"/>
  <c r="H209" i="53"/>
  <c r="N207" i="53"/>
  <c r="L207" i="53"/>
  <c r="L204" i="53"/>
  <c r="K207" i="53"/>
  <c r="J207" i="53"/>
  <c r="I207" i="53"/>
  <c r="H207" i="53"/>
  <c r="O207" i="53"/>
  <c r="N203" i="53"/>
  <c r="M203" i="53"/>
  <c r="L203" i="53"/>
  <c r="K203" i="53"/>
  <c r="J203" i="53"/>
  <c r="I203" i="53"/>
  <c r="H203" i="53"/>
  <c r="N201" i="53"/>
  <c r="M201" i="53"/>
  <c r="L201" i="53"/>
  <c r="K201" i="53"/>
  <c r="J201" i="53"/>
  <c r="H201" i="53"/>
  <c r="I201" i="53"/>
  <c r="O201" i="53"/>
  <c r="N198" i="53"/>
  <c r="M198" i="53"/>
  <c r="L198" i="53"/>
  <c r="K198" i="53"/>
  <c r="J198" i="53"/>
  <c r="I198" i="53"/>
  <c r="H198" i="53"/>
  <c r="O198" i="53"/>
  <c r="N196" i="53"/>
  <c r="M196" i="53"/>
  <c r="L196" i="53"/>
  <c r="K196" i="53"/>
  <c r="J196" i="53"/>
  <c r="I196" i="53"/>
  <c r="H196" i="53"/>
  <c r="O196" i="53"/>
  <c r="N193" i="53"/>
  <c r="M193" i="53"/>
  <c r="L193" i="53"/>
  <c r="K193" i="53"/>
  <c r="J193" i="53"/>
  <c r="I193" i="53"/>
  <c r="H193" i="53"/>
  <c r="N191" i="53"/>
  <c r="N188" i="53"/>
  <c r="M191" i="53"/>
  <c r="L191" i="53"/>
  <c r="K191" i="53"/>
  <c r="J191" i="53"/>
  <c r="J188" i="53"/>
  <c r="I191" i="53"/>
  <c r="H191" i="53"/>
  <c r="N186" i="53"/>
  <c r="M186" i="53"/>
  <c r="L186" i="53"/>
  <c r="K186" i="53"/>
  <c r="J186" i="53"/>
  <c r="I186" i="53"/>
  <c r="H186" i="53"/>
  <c r="O186" i="53"/>
  <c r="N185" i="53"/>
  <c r="M185" i="53"/>
  <c r="L185" i="53"/>
  <c r="K185" i="53"/>
  <c r="J185" i="53"/>
  <c r="I185" i="53"/>
  <c r="H185" i="53"/>
  <c r="O185" i="53"/>
  <c r="N183" i="53"/>
  <c r="M183" i="53"/>
  <c r="L183" i="53"/>
  <c r="K183" i="53"/>
  <c r="J183" i="53"/>
  <c r="I183" i="53"/>
  <c r="H183" i="53"/>
  <c r="N181" i="53"/>
  <c r="M181" i="53"/>
  <c r="L181" i="53"/>
  <c r="K181" i="53"/>
  <c r="J181" i="53"/>
  <c r="I181" i="53"/>
  <c r="H181" i="53"/>
  <c r="N178" i="53"/>
  <c r="M178" i="53"/>
  <c r="L178" i="53"/>
  <c r="K178" i="53"/>
  <c r="J178" i="53"/>
  <c r="I178" i="53"/>
  <c r="H178" i="53"/>
  <c r="O178" i="53"/>
  <c r="N177" i="53"/>
  <c r="M177" i="53"/>
  <c r="L177" i="53"/>
  <c r="K177" i="53"/>
  <c r="J177" i="53"/>
  <c r="I177" i="53"/>
  <c r="H177" i="53"/>
  <c r="N175" i="53"/>
  <c r="M175" i="53"/>
  <c r="L175" i="53"/>
  <c r="K175" i="53"/>
  <c r="K171" i="53"/>
  <c r="K172" i="53"/>
  <c r="K173" i="53"/>
  <c r="K169" i="53"/>
  <c r="J175" i="53"/>
  <c r="I175" i="53"/>
  <c r="H175" i="53"/>
  <c r="N173" i="53"/>
  <c r="M173" i="53"/>
  <c r="L173" i="53"/>
  <c r="J173" i="53"/>
  <c r="H173" i="53"/>
  <c r="I173" i="53"/>
  <c r="O173" i="53"/>
  <c r="N172" i="53"/>
  <c r="M172" i="53"/>
  <c r="L172" i="53"/>
  <c r="J172" i="53"/>
  <c r="I172" i="53"/>
  <c r="H172" i="53"/>
  <c r="O172" i="53"/>
  <c r="N171" i="53"/>
  <c r="M171" i="53"/>
  <c r="M169" i="53"/>
  <c r="L171" i="53"/>
  <c r="L169" i="53"/>
  <c r="J171" i="53"/>
  <c r="I171" i="53"/>
  <c r="H171" i="53"/>
  <c r="O171" i="53"/>
  <c r="N152" i="53"/>
  <c r="M152" i="53"/>
  <c r="L152" i="53"/>
  <c r="L151" i="53"/>
  <c r="L150" i="53"/>
  <c r="K152" i="53"/>
  <c r="J152" i="53"/>
  <c r="I152" i="53"/>
  <c r="H152" i="53"/>
  <c r="N151" i="53"/>
  <c r="N150" i="53"/>
  <c r="M151" i="53"/>
  <c r="K151" i="53"/>
  <c r="J151" i="53"/>
  <c r="I151" i="53"/>
  <c r="I150" i="53"/>
  <c r="H151" i="53"/>
  <c r="M145" i="53"/>
  <c r="I145" i="53"/>
  <c r="L145" i="53"/>
  <c r="H145" i="53"/>
  <c r="K145" i="53"/>
  <c r="N144" i="53"/>
  <c r="M144" i="53"/>
  <c r="L144" i="53"/>
  <c r="K144" i="53"/>
  <c r="J144" i="53"/>
  <c r="I144" i="53"/>
  <c r="H144" i="53"/>
  <c r="N143" i="53"/>
  <c r="M143" i="53"/>
  <c r="L143" i="53"/>
  <c r="K143" i="53"/>
  <c r="J143" i="53"/>
  <c r="I143" i="53"/>
  <c r="H143" i="53"/>
  <c r="N142" i="53"/>
  <c r="M142" i="53"/>
  <c r="L142" i="53"/>
  <c r="L139" i="53"/>
  <c r="L140" i="53"/>
  <c r="L141" i="53"/>
  <c r="L138" i="53"/>
  <c r="K142" i="53"/>
  <c r="J142" i="53"/>
  <c r="I142" i="53"/>
  <c r="H142" i="53"/>
  <c r="O142" i="53"/>
  <c r="N141" i="53"/>
  <c r="M141" i="53"/>
  <c r="K141" i="53"/>
  <c r="K139" i="53"/>
  <c r="K140" i="53"/>
  <c r="K138" i="53"/>
  <c r="J141" i="53"/>
  <c r="H141" i="53"/>
  <c r="I141" i="53"/>
  <c r="O141" i="53"/>
  <c r="N140" i="53"/>
  <c r="N139" i="53"/>
  <c r="N138" i="53"/>
  <c r="M140" i="53"/>
  <c r="J140" i="53"/>
  <c r="J139" i="53"/>
  <c r="J138" i="53"/>
  <c r="I140" i="53"/>
  <c r="H140" i="53"/>
  <c r="M139" i="53"/>
  <c r="M138" i="53"/>
  <c r="I139" i="53"/>
  <c r="H139" i="53"/>
  <c r="N137" i="53"/>
  <c r="M137" i="53"/>
  <c r="L137" i="53"/>
  <c r="K137" i="53"/>
  <c r="J137" i="53"/>
  <c r="I137" i="53"/>
  <c r="H137" i="53"/>
  <c r="O137" i="53"/>
  <c r="N136" i="53"/>
  <c r="M136" i="53"/>
  <c r="L136" i="53"/>
  <c r="K136" i="53"/>
  <c r="J136" i="53"/>
  <c r="H136" i="53"/>
  <c r="I136" i="53"/>
  <c r="O136" i="53"/>
  <c r="N135" i="53"/>
  <c r="N133" i="53"/>
  <c r="N134" i="53"/>
  <c r="N132" i="53"/>
  <c r="M135" i="53"/>
  <c r="L135" i="53"/>
  <c r="K135" i="53"/>
  <c r="J135" i="53"/>
  <c r="J133" i="53"/>
  <c r="J134" i="53"/>
  <c r="J132" i="53"/>
  <c r="I135" i="53"/>
  <c r="H135" i="53"/>
  <c r="M134" i="53"/>
  <c r="M133" i="53"/>
  <c r="M132" i="53"/>
  <c r="L134" i="53"/>
  <c r="K134" i="53"/>
  <c r="I134" i="53"/>
  <c r="I133" i="53"/>
  <c r="I132" i="53"/>
  <c r="H134" i="53"/>
  <c r="L133" i="53"/>
  <c r="L132" i="53"/>
  <c r="K133" i="53"/>
  <c r="H133" i="53"/>
  <c r="N129" i="53"/>
  <c r="M129" i="53"/>
  <c r="L129" i="53"/>
  <c r="K129" i="53"/>
  <c r="K127" i="53"/>
  <c r="K128" i="53"/>
  <c r="K126" i="53"/>
  <c r="K125" i="53"/>
  <c r="J129" i="53"/>
  <c r="H129" i="53"/>
  <c r="I129" i="53"/>
  <c r="O129" i="53"/>
  <c r="N128" i="53"/>
  <c r="N127" i="53"/>
  <c r="N126" i="53"/>
  <c r="N125" i="53"/>
  <c r="M128" i="53"/>
  <c r="L128" i="53"/>
  <c r="J128" i="53"/>
  <c r="J127" i="53"/>
  <c r="J126" i="53"/>
  <c r="J125" i="53"/>
  <c r="I128" i="53"/>
  <c r="H128" i="53"/>
  <c r="M127" i="53"/>
  <c r="M126" i="53"/>
  <c r="M125" i="53"/>
  <c r="L127" i="53"/>
  <c r="L126" i="53"/>
  <c r="I127" i="53"/>
  <c r="I126" i="53"/>
  <c r="I125" i="53"/>
  <c r="H127" i="53"/>
  <c r="N121" i="53"/>
  <c r="N120" i="53"/>
  <c r="N119" i="53"/>
  <c r="M121" i="53"/>
  <c r="L121" i="53"/>
  <c r="K121" i="53"/>
  <c r="J119" i="53"/>
  <c r="M120" i="53"/>
  <c r="M119" i="53"/>
  <c r="L120" i="53"/>
  <c r="K120" i="53"/>
  <c r="I119" i="53"/>
  <c r="N117" i="53"/>
  <c r="M117" i="53"/>
  <c r="L117" i="53"/>
  <c r="L116" i="53"/>
  <c r="K117" i="53"/>
  <c r="K116" i="53"/>
  <c r="J117" i="53"/>
  <c r="I117" i="53"/>
  <c r="I116" i="53"/>
  <c r="H117" i="53"/>
  <c r="O117" i="53"/>
  <c r="O116" i="53"/>
  <c r="N115" i="53"/>
  <c r="N114" i="53"/>
  <c r="M115" i="53"/>
  <c r="L115" i="53"/>
  <c r="K115" i="53"/>
  <c r="K114" i="53"/>
  <c r="J115" i="53"/>
  <c r="I115" i="53"/>
  <c r="H115" i="53"/>
  <c r="N113" i="53"/>
  <c r="M113" i="53"/>
  <c r="L113" i="53"/>
  <c r="K113" i="53"/>
  <c r="J113" i="53"/>
  <c r="I113" i="53"/>
  <c r="H113" i="53"/>
  <c r="N112" i="53"/>
  <c r="M112" i="53"/>
  <c r="L112" i="53"/>
  <c r="K112" i="53"/>
  <c r="J112" i="53"/>
  <c r="I112" i="53"/>
  <c r="H112" i="53"/>
  <c r="N111" i="53"/>
  <c r="M111" i="53"/>
  <c r="L111" i="53"/>
  <c r="L109" i="53"/>
  <c r="L110" i="53"/>
  <c r="L108" i="53"/>
  <c r="L114" i="53"/>
  <c r="L107" i="53"/>
  <c r="K111" i="53"/>
  <c r="J111" i="53"/>
  <c r="I111" i="53"/>
  <c r="H111" i="53"/>
  <c r="H109" i="53"/>
  <c r="H110" i="53"/>
  <c r="H108" i="53"/>
  <c r="N110" i="53"/>
  <c r="M110" i="53"/>
  <c r="K110" i="53"/>
  <c r="J110" i="53"/>
  <c r="I110" i="53"/>
  <c r="O110" i="53"/>
  <c r="N109" i="53"/>
  <c r="N108" i="53"/>
  <c r="N107" i="53"/>
  <c r="M109" i="53"/>
  <c r="K109" i="53"/>
  <c r="K108" i="53"/>
  <c r="J109" i="53"/>
  <c r="J108" i="53"/>
  <c r="I109" i="53"/>
  <c r="N104" i="53"/>
  <c r="M104" i="53"/>
  <c r="M103" i="53"/>
  <c r="L104" i="53"/>
  <c r="L103" i="53"/>
  <c r="K104" i="53"/>
  <c r="K103" i="53"/>
  <c r="N100" i="53"/>
  <c r="M100" i="53"/>
  <c r="L100" i="53"/>
  <c r="K100" i="53"/>
  <c r="J100" i="53"/>
  <c r="H100" i="53"/>
  <c r="I100" i="53"/>
  <c r="O100" i="53"/>
  <c r="N99" i="53"/>
  <c r="M99" i="53"/>
  <c r="L99" i="53"/>
  <c r="K99" i="53"/>
  <c r="J99" i="53"/>
  <c r="I99" i="53"/>
  <c r="H99" i="53"/>
  <c r="N98" i="53"/>
  <c r="M98" i="53"/>
  <c r="L98" i="53"/>
  <c r="K98" i="53"/>
  <c r="J98" i="53"/>
  <c r="I98" i="53"/>
  <c r="H98" i="53"/>
  <c r="N97" i="53"/>
  <c r="M97" i="53"/>
  <c r="L97" i="53"/>
  <c r="L95" i="53"/>
  <c r="L96" i="53"/>
  <c r="L94" i="53"/>
  <c r="K97" i="53"/>
  <c r="J97" i="53"/>
  <c r="I97" i="53"/>
  <c r="H97" i="53"/>
  <c r="H95" i="53"/>
  <c r="H96" i="53"/>
  <c r="H94" i="53"/>
  <c r="N96" i="53"/>
  <c r="M96" i="53"/>
  <c r="K96" i="53"/>
  <c r="K95" i="53"/>
  <c r="K94" i="53"/>
  <c r="J96" i="53"/>
  <c r="I96" i="53"/>
  <c r="O96" i="53"/>
  <c r="N95" i="53"/>
  <c r="N94" i="53"/>
  <c r="M95" i="53"/>
  <c r="J95" i="53"/>
  <c r="J94" i="53"/>
  <c r="I95" i="53"/>
  <c r="N93" i="53"/>
  <c r="M93" i="53"/>
  <c r="M91" i="53"/>
  <c r="M92" i="53"/>
  <c r="M90" i="53"/>
  <c r="L93" i="53"/>
  <c r="K93" i="53"/>
  <c r="J93" i="53"/>
  <c r="I93" i="53"/>
  <c r="I91" i="53"/>
  <c r="I92" i="53"/>
  <c r="I90" i="53"/>
  <c r="H93" i="53"/>
  <c r="N92" i="53"/>
  <c r="L92" i="53"/>
  <c r="L91" i="53"/>
  <c r="L90" i="53"/>
  <c r="K92" i="53"/>
  <c r="J92" i="53"/>
  <c r="H92" i="53"/>
  <c r="O92" i="53"/>
  <c r="N91" i="53"/>
  <c r="N90" i="53"/>
  <c r="K91" i="53"/>
  <c r="K90" i="53"/>
  <c r="J91" i="53"/>
  <c r="H91" i="53"/>
  <c r="N89" i="53"/>
  <c r="N87" i="53"/>
  <c r="N88" i="53"/>
  <c r="N86" i="53"/>
  <c r="M89" i="53"/>
  <c r="L89" i="53"/>
  <c r="K89" i="53"/>
  <c r="J89" i="53"/>
  <c r="J87" i="53"/>
  <c r="J88" i="53"/>
  <c r="J86" i="53"/>
  <c r="I89" i="53"/>
  <c r="H89" i="53"/>
  <c r="M88" i="53"/>
  <c r="M87" i="53"/>
  <c r="M86" i="53"/>
  <c r="L88" i="53"/>
  <c r="K88" i="53"/>
  <c r="I88" i="53"/>
  <c r="H88" i="53"/>
  <c r="L87" i="53"/>
  <c r="L86" i="53"/>
  <c r="K87" i="53"/>
  <c r="K86" i="53"/>
  <c r="I87" i="53"/>
  <c r="I86" i="53"/>
  <c r="H87" i="53"/>
  <c r="O87" i="53"/>
  <c r="N85" i="53"/>
  <c r="M85" i="53"/>
  <c r="L85" i="53"/>
  <c r="K85" i="53"/>
  <c r="J85" i="53"/>
  <c r="I85" i="53"/>
  <c r="O85" i="53"/>
  <c r="H85" i="53"/>
  <c r="N84" i="53"/>
  <c r="M84" i="53"/>
  <c r="L84" i="53"/>
  <c r="K84" i="53"/>
  <c r="J84" i="53"/>
  <c r="J81" i="53"/>
  <c r="J82" i="53"/>
  <c r="J83" i="53"/>
  <c r="J80" i="53"/>
  <c r="I84" i="53"/>
  <c r="H84" i="53"/>
  <c r="N83" i="53"/>
  <c r="M83" i="53"/>
  <c r="M81" i="53"/>
  <c r="M82" i="53"/>
  <c r="M80" i="53"/>
  <c r="L83" i="53"/>
  <c r="K83" i="53"/>
  <c r="I83" i="53"/>
  <c r="I81" i="53"/>
  <c r="I82" i="53"/>
  <c r="I80" i="53"/>
  <c r="H83" i="53"/>
  <c r="N82" i="53"/>
  <c r="L82" i="53"/>
  <c r="L81" i="53"/>
  <c r="L80" i="53"/>
  <c r="K82" i="53"/>
  <c r="H82" i="53"/>
  <c r="O82" i="53"/>
  <c r="N81" i="53"/>
  <c r="K81" i="53"/>
  <c r="K80" i="53"/>
  <c r="H81" i="53"/>
  <c r="O81" i="53"/>
  <c r="N79" i="53"/>
  <c r="N78" i="53"/>
  <c r="N77" i="53"/>
  <c r="M79" i="53"/>
  <c r="L79" i="53"/>
  <c r="K79" i="53"/>
  <c r="J79" i="53"/>
  <c r="J78" i="53"/>
  <c r="J77" i="53"/>
  <c r="I79" i="53"/>
  <c r="H79" i="53"/>
  <c r="M78" i="53"/>
  <c r="M77" i="53"/>
  <c r="L78" i="53"/>
  <c r="L77" i="53"/>
  <c r="K78" i="53"/>
  <c r="I78" i="53"/>
  <c r="I77" i="53"/>
  <c r="H78" i="53"/>
  <c r="N76" i="53"/>
  <c r="M76" i="53"/>
  <c r="L76" i="53"/>
  <c r="K76" i="53"/>
  <c r="J76" i="53"/>
  <c r="I76" i="53"/>
  <c r="H76" i="53"/>
  <c r="O76" i="53"/>
  <c r="N75" i="53"/>
  <c r="M75" i="53"/>
  <c r="L75" i="53"/>
  <c r="K75" i="53"/>
  <c r="J75" i="53"/>
  <c r="I75" i="53"/>
  <c r="O75" i="53"/>
  <c r="H75" i="53"/>
  <c r="N74" i="53"/>
  <c r="N72" i="53"/>
  <c r="N73" i="53"/>
  <c r="N71" i="53"/>
  <c r="M74" i="53"/>
  <c r="L74" i="53"/>
  <c r="K74" i="53"/>
  <c r="J74" i="53"/>
  <c r="J72" i="53"/>
  <c r="J73" i="53"/>
  <c r="J71" i="53"/>
  <c r="I74" i="53"/>
  <c r="H74" i="53"/>
  <c r="M73" i="53"/>
  <c r="L73" i="53"/>
  <c r="K73" i="53"/>
  <c r="I73" i="53"/>
  <c r="H73" i="53"/>
  <c r="M72" i="53"/>
  <c r="M71" i="53"/>
  <c r="L72" i="53"/>
  <c r="L71" i="53"/>
  <c r="L70" i="53"/>
  <c r="K72" i="53"/>
  <c r="I72" i="53"/>
  <c r="H72" i="53"/>
  <c r="O72" i="53"/>
  <c r="N69" i="53"/>
  <c r="M69" i="53"/>
  <c r="L69" i="53"/>
  <c r="K69" i="53"/>
  <c r="J69" i="53"/>
  <c r="I69" i="53"/>
  <c r="H69" i="53"/>
  <c r="N68" i="53"/>
  <c r="M68" i="53"/>
  <c r="L68" i="53"/>
  <c r="K68" i="53"/>
  <c r="J68" i="53"/>
  <c r="I68" i="53"/>
  <c r="H68" i="53"/>
  <c r="N67" i="53"/>
  <c r="M67" i="53"/>
  <c r="M64" i="53"/>
  <c r="M65" i="53"/>
  <c r="M66" i="53"/>
  <c r="M63" i="53"/>
  <c r="L67" i="53"/>
  <c r="K67" i="53"/>
  <c r="J67" i="53"/>
  <c r="I67" i="53"/>
  <c r="O67" i="53"/>
  <c r="H67" i="53"/>
  <c r="N66" i="53"/>
  <c r="L66" i="53"/>
  <c r="L64" i="53"/>
  <c r="L65" i="53"/>
  <c r="L63" i="53"/>
  <c r="K66" i="53"/>
  <c r="J66" i="53"/>
  <c r="I66" i="53"/>
  <c r="H66" i="53"/>
  <c r="H64" i="53"/>
  <c r="H65" i="53"/>
  <c r="H63" i="53"/>
  <c r="N65" i="53"/>
  <c r="K65" i="53"/>
  <c r="K64" i="53"/>
  <c r="K63" i="53"/>
  <c r="J65" i="53"/>
  <c r="I65" i="53"/>
  <c r="O65" i="53"/>
  <c r="N64" i="53"/>
  <c r="N63" i="53"/>
  <c r="J64" i="53"/>
  <c r="J63" i="53"/>
  <c r="I64" i="53"/>
  <c r="N62" i="53"/>
  <c r="M62" i="53"/>
  <c r="L62" i="53"/>
  <c r="K62" i="53"/>
  <c r="J62" i="53"/>
  <c r="I62" i="53"/>
  <c r="O62" i="53"/>
  <c r="H62" i="53"/>
  <c r="N61" i="53"/>
  <c r="M61" i="53"/>
  <c r="L61" i="53"/>
  <c r="K61" i="53"/>
  <c r="J61" i="53"/>
  <c r="I61" i="53"/>
  <c r="H61" i="53"/>
  <c r="N60" i="53"/>
  <c r="M60" i="53"/>
  <c r="L60" i="53"/>
  <c r="K60" i="53"/>
  <c r="K57" i="53"/>
  <c r="K58" i="53"/>
  <c r="K59" i="53"/>
  <c r="K56" i="53"/>
  <c r="J60" i="53"/>
  <c r="I60" i="53"/>
  <c r="O60" i="53"/>
  <c r="H60" i="53"/>
  <c r="N59" i="53"/>
  <c r="N57" i="53"/>
  <c r="N58" i="53"/>
  <c r="N56" i="53"/>
  <c r="M59" i="53"/>
  <c r="L59" i="53"/>
  <c r="J59" i="53"/>
  <c r="J57" i="53"/>
  <c r="J58" i="53"/>
  <c r="J56" i="53"/>
  <c r="I59" i="53"/>
  <c r="H59" i="53"/>
  <c r="M58" i="53"/>
  <c r="M57" i="53"/>
  <c r="M56" i="53"/>
  <c r="L58" i="53"/>
  <c r="I58" i="53"/>
  <c r="I57" i="53"/>
  <c r="I56" i="53"/>
  <c r="H58" i="53"/>
  <c r="L57" i="53"/>
  <c r="H57" i="53"/>
  <c r="O57" i="53"/>
  <c r="N55" i="53"/>
  <c r="M55" i="53"/>
  <c r="L55" i="53"/>
  <c r="K55" i="53"/>
  <c r="J55" i="53"/>
  <c r="I55" i="53"/>
  <c r="O55" i="53"/>
  <c r="H55" i="53"/>
  <c r="N54" i="53"/>
  <c r="M54" i="53"/>
  <c r="L54" i="53"/>
  <c r="K54" i="53"/>
  <c r="J54" i="53"/>
  <c r="I54" i="53"/>
  <c r="H54" i="53"/>
  <c r="N53" i="53"/>
  <c r="M53" i="53"/>
  <c r="L53" i="53"/>
  <c r="K53" i="53"/>
  <c r="J53" i="53"/>
  <c r="I53" i="53"/>
  <c r="O53" i="53"/>
  <c r="H53" i="53"/>
  <c r="N52" i="53"/>
  <c r="M52" i="53"/>
  <c r="L52" i="53"/>
  <c r="K52" i="53"/>
  <c r="J52" i="53"/>
  <c r="I52" i="53"/>
  <c r="H52" i="53"/>
  <c r="O52" i="53"/>
  <c r="N51" i="53"/>
  <c r="M51" i="53"/>
  <c r="L51" i="53"/>
  <c r="K51" i="53"/>
  <c r="K48" i="53"/>
  <c r="K49" i="53"/>
  <c r="K50" i="53"/>
  <c r="K47" i="53"/>
  <c r="J51" i="53"/>
  <c r="I51" i="53"/>
  <c r="H51" i="53"/>
  <c r="N50" i="53"/>
  <c r="N48" i="53"/>
  <c r="N49" i="53"/>
  <c r="N47" i="53"/>
  <c r="M50" i="53"/>
  <c r="L50" i="53"/>
  <c r="J50" i="53"/>
  <c r="J48" i="53"/>
  <c r="J49" i="53"/>
  <c r="J47" i="53"/>
  <c r="I50" i="53"/>
  <c r="H50" i="53"/>
  <c r="M49" i="53"/>
  <c r="M48" i="53"/>
  <c r="M47" i="53"/>
  <c r="L49" i="53"/>
  <c r="I49" i="53"/>
  <c r="I48" i="53"/>
  <c r="I47" i="53"/>
  <c r="H49" i="53"/>
  <c r="L48" i="53"/>
  <c r="L47" i="53"/>
  <c r="H48" i="53"/>
  <c r="N46" i="53"/>
  <c r="N45" i="53"/>
  <c r="M46" i="53"/>
  <c r="L46" i="53"/>
  <c r="L45" i="53"/>
  <c r="K46" i="53"/>
  <c r="K45" i="53"/>
  <c r="J46" i="53"/>
  <c r="J45" i="53"/>
  <c r="I46" i="53"/>
  <c r="H46" i="53"/>
  <c r="N44" i="53"/>
  <c r="M44" i="53"/>
  <c r="L44" i="53"/>
  <c r="K44" i="53"/>
  <c r="J44" i="53"/>
  <c r="I44" i="53"/>
  <c r="H44" i="53"/>
  <c r="N43" i="53"/>
  <c r="M43" i="53"/>
  <c r="L43" i="53"/>
  <c r="K43" i="53"/>
  <c r="J43" i="53"/>
  <c r="I43" i="53"/>
  <c r="H43" i="53"/>
  <c r="N42" i="53"/>
  <c r="M42" i="53"/>
  <c r="L42" i="53"/>
  <c r="K42" i="53"/>
  <c r="J42" i="53"/>
  <c r="I42" i="53"/>
  <c r="H42" i="53"/>
  <c r="N41" i="53"/>
  <c r="M41" i="53"/>
  <c r="L41" i="53"/>
  <c r="K41" i="53"/>
  <c r="K38" i="53"/>
  <c r="K39" i="53"/>
  <c r="K40" i="53"/>
  <c r="K37" i="53"/>
  <c r="J41" i="53"/>
  <c r="I41" i="53"/>
  <c r="H41" i="53"/>
  <c r="O41" i="53"/>
  <c r="N40" i="53"/>
  <c r="N38" i="53"/>
  <c r="N39" i="53"/>
  <c r="N37" i="53"/>
  <c r="M40" i="53"/>
  <c r="L40" i="53"/>
  <c r="J40" i="53"/>
  <c r="J38" i="53"/>
  <c r="J39" i="53"/>
  <c r="J37" i="53"/>
  <c r="I40" i="53"/>
  <c r="H40" i="53"/>
  <c r="M39" i="53"/>
  <c r="M38" i="53"/>
  <c r="M37" i="53"/>
  <c r="L39" i="53"/>
  <c r="I39" i="53"/>
  <c r="I38" i="53"/>
  <c r="I37" i="53"/>
  <c r="H39" i="53"/>
  <c r="L38" i="53"/>
  <c r="H38" i="53"/>
  <c r="N35" i="53"/>
  <c r="M35" i="53"/>
  <c r="L35" i="53"/>
  <c r="K35" i="53"/>
  <c r="J35" i="53"/>
  <c r="I35" i="53"/>
  <c r="H35" i="53"/>
  <c r="O35" i="53"/>
  <c r="N34" i="53"/>
  <c r="M34" i="53"/>
  <c r="L34" i="53"/>
  <c r="K34" i="53"/>
  <c r="J34" i="53"/>
  <c r="H34" i="53"/>
  <c r="I34" i="53"/>
  <c r="O34" i="53"/>
  <c r="N33" i="53"/>
  <c r="M33" i="53"/>
  <c r="L33" i="53"/>
  <c r="K33" i="53"/>
  <c r="J33" i="53"/>
  <c r="I33" i="53"/>
  <c r="H33" i="53"/>
  <c r="N31" i="53"/>
  <c r="M31" i="53"/>
  <c r="L31" i="53"/>
  <c r="L30" i="53"/>
  <c r="L29" i="53"/>
  <c r="K31" i="53"/>
  <c r="J31" i="53"/>
  <c r="I31" i="53"/>
  <c r="I30" i="53"/>
  <c r="I29" i="53"/>
  <c r="H31" i="53"/>
  <c r="N30" i="53"/>
  <c r="N29" i="53"/>
  <c r="M30" i="53"/>
  <c r="K30" i="53"/>
  <c r="K29" i="53"/>
  <c r="J30" i="53"/>
  <c r="H30" i="53"/>
  <c r="N25" i="53"/>
  <c r="M25" i="53"/>
  <c r="L25" i="53"/>
  <c r="K25" i="53"/>
  <c r="J25" i="53"/>
  <c r="H25" i="53"/>
  <c r="I25" i="53"/>
  <c r="O25" i="53"/>
  <c r="N24" i="53"/>
  <c r="M24" i="53"/>
  <c r="L24" i="53"/>
  <c r="K24" i="53"/>
  <c r="J24" i="53"/>
  <c r="I24" i="53"/>
  <c r="H24" i="53"/>
  <c r="N23" i="53"/>
  <c r="M23" i="53"/>
  <c r="L23" i="53"/>
  <c r="K23" i="53"/>
  <c r="J23" i="53"/>
  <c r="I23" i="53"/>
  <c r="H23" i="53"/>
  <c r="O23" i="53"/>
  <c r="N22" i="53"/>
  <c r="M22" i="53"/>
  <c r="L22" i="53"/>
  <c r="K22" i="53"/>
  <c r="J22" i="53"/>
  <c r="I22" i="53"/>
  <c r="H22" i="53"/>
  <c r="N21" i="53"/>
  <c r="M21" i="53"/>
  <c r="L21" i="53"/>
  <c r="K21" i="53"/>
  <c r="J21" i="53"/>
  <c r="H21" i="53"/>
  <c r="I21" i="53"/>
  <c r="O21" i="53"/>
  <c r="N20" i="53"/>
  <c r="M20" i="53"/>
  <c r="M18" i="53"/>
  <c r="M19" i="53"/>
  <c r="M17" i="53"/>
  <c r="L20" i="53"/>
  <c r="K20" i="53"/>
  <c r="J20" i="53"/>
  <c r="I20" i="53"/>
  <c r="I18" i="53"/>
  <c r="I19" i="53"/>
  <c r="I17" i="53"/>
  <c r="H20" i="53"/>
  <c r="N19" i="53"/>
  <c r="L19" i="53"/>
  <c r="K19" i="53"/>
  <c r="J19" i="53"/>
  <c r="H19" i="53"/>
  <c r="N18" i="53"/>
  <c r="L18" i="53"/>
  <c r="L17" i="53"/>
  <c r="K18" i="53"/>
  <c r="K17" i="53"/>
  <c r="J18" i="53"/>
  <c r="H18" i="53"/>
  <c r="N14" i="53"/>
  <c r="M14" i="53"/>
  <c r="L14" i="53"/>
  <c r="K14" i="53"/>
  <c r="J14" i="53"/>
  <c r="I14" i="53"/>
  <c r="O14" i="53"/>
  <c r="H14" i="53"/>
  <c r="N13" i="53"/>
  <c r="M13" i="53"/>
  <c r="M10" i="53"/>
  <c r="M11" i="53"/>
  <c r="M12" i="53"/>
  <c r="M9" i="53"/>
  <c r="M8" i="53"/>
  <c r="L13" i="53"/>
  <c r="K13" i="53"/>
  <c r="J13" i="53"/>
  <c r="I13" i="53"/>
  <c r="H13" i="53"/>
  <c r="N12" i="53"/>
  <c r="L12" i="53"/>
  <c r="L10" i="53"/>
  <c r="L11" i="53"/>
  <c r="L9" i="53"/>
  <c r="L8" i="53"/>
  <c r="K12" i="53"/>
  <c r="J12" i="53"/>
  <c r="I12" i="53"/>
  <c r="H12" i="53"/>
  <c r="O12" i="53"/>
  <c r="N11" i="53"/>
  <c r="K11" i="53"/>
  <c r="K10" i="53"/>
  <c r="K9" i="53"/>
  <c r="K8" i="53"/>
  <c r="J11" i="53"/>
  <c r="I11" i="53"/>
  <c r="H11" i="53"/>
  <c r="N10" i="53"/>
  <c r="N9" i="53"/>
  <c r="N8" i="53"/>
  <c r="J10" i="53"/>
  <c r="J9" i="53"/>
  <c r="J8" i="53"/>
  <c r="I10" i="53"/>
  <c r="H10" i="53"/>
  <c r="N220" i="52"/>
  <c r="M220" i="52"/>
  <c r="L220" i="52"/>
  <c r="K220" i="52"/>
  <c r="J220" i="52"/>
  <c r="I220" i="52"/>
  <c r="H220" i="52"/>
  <c r="O220" i="52"/>
  <c r="N218" i="52"/>
  <c r="M218" i="52"/>
  <c r="L218" i="52"/>
  <c r="K218" i="52"/>
  <c r="J218" i="52"/>
  <c r="I218" i="52"/>
  <c r="H218" i="52"/>
  <c r="O218" i="52"/>
  <c r="N215" i="52"/>
  <c r="M215" i="52"/>
  <c r="L215" i="52"/>
  <c r="K215" i="52"/>
  <c r="K207" i="52"/>
  <c r="K209" i="52"/>
  <c r="K213" i="52"/>
  <c r="K204" i="52"/>
  <c r="J215" i="52"/>
  <c r="H215" i="52"/>
  <c r="I215" i="52"/>
  <c r="O215" i="52"/>
  <c r="N213" i="52"/>
  <c r="N207" i="52"/>
  <c r="N209" i="52"/>
  <c r="N204" i="52"/>
  <c r="M213" i="52"/>
  <c r="L213" i="52"/>
  <c r="J213" i="52"/>
  <c r="J207" i="52"/>
  <c r="J209" i="52"/>
  <c r="J204" i="52"/>
  <c r="I213" i="52"/>
  <c r="H213" i="52"/>
  <c r="M209" i="52"/>
  <c r="M207" i="52"/>
  <c r="M204" i="52"/>
  <c r="L209" i="52"/>
  <c r="I209" i="52"/>
  <c r="I207" i="52"/>
  <c r="I204" i="52"/>
  <c r="H209" i="52"/>
  <c r="L207" i="52"/>
  <c r="L204" i="52"/>
  <c r="H207" i="52"/>
  <c r="N203" i="52"/>
  <c r="M203" i="52"/>
  <c r="L203" i="52"/>
  <c r="K203" i="52"/>
  <c r="J203" i="52"/>
  <c r="I203" i="52"/>
  <c r="H203" i="52"/>
  <c r="N201" i="52"/>
  <c r="M201" i="52"/>
  <c r="L201" i="52"/>
  <c r="K201" i="52"/>
  <c r="J201" i="52"/>
  <c r="I201" i="52"/>
  <c r="H201" i="52"/>
  <c r="N198" i="52"/>
  <c r="M198" i="52"/>
  <c r="L198" i="52"/>
  <c r="K198" i="52"/>
  <c r="J198" i="52"/>
  <c r="I198" i="52"/>
  <c r="I191" i="52"/>
  <c r="I193" i="52"/>
  <c r="I196" i="52"/>
  <c r="I188" i="52"/>
  <c r="H198" i="52"/>
  <c r="N196" i="52"/>
  <c r="M196" i="52"/>
  <c r="L196" i="52"/>
  <c r="L191" i="52"/>
  <c r="L193" i="52"/>
  <c r="L188" i="52"/>
  <c r="K196" i="52"/>
  <c r="J196" i="52"/>
  <c r="H196" i="52"/>
  <c r="N193" i="52"/>
  <c r="M193" i="52"/>
  <c r="K193" i="52"/>
  <c r="K191" i="52"/>
  <c r="K188" i="52"/>
  <c r="J193" i="52"/>
  <c r="H193" i="52"/>
  <c r="O193" i="52"/>
  <c r="N191" i="52"/>
  <c r="N188" i="52"/>
  <c r="M191" i="52"/>
  <c r="J191" i="52"/>
  <c r="J188" i="52"/>
  <c r="H191" i="52"/>
  <c r="N186" i="52"/>
  <c r="M186" i="52"/>
  <c r="L186" i="52"/>
  <c r="K186" i="52"/>
  <c r="J186" i="52"/>
  <c r="I186" i="52"/>
  <c r="H186" i="52"/>
  <c r="N185" i="52"/>
  <c r="M185" i="52"/>
  <c r="L185" i="52"/>
  <c r="K185" i="52"/>
  <c r="J185" i="52"/>
  <c r="I185" i="52"/>
  <c r="H185" i="52"/>
  <c r="O185" i="52"/>
  <c r="N183" i="52"/>
  <c r="M183" i="52"/>
  <c r="L183" i="52"/>
  <c r="K183" i="52"/>
  <c r="J183" i="52"/>
  <c r="H183" i="52"/>
  <c r="I183" i="52"/>
  <c r="O183" i="52"/>
  <c r="N181" i="52"/>
  <c r="M181" i="52"/>
  <c r="L181" i="52"/>
  <c r="K181" i="52"/>
  <c r="J181" i="52"/>
  <c r="I181" i="52"/>
  <c r="H181" i="52"/>
  <c r="N178" i="52"/>
  <c r="M178" i="52"/>
  <c r="L178" i="52"/>
  <c r="K178" i="52"/>
  <c r="J178" i="52"/>
  <c r="I178" i="52"/>
  <c r="H178" i="52"/>
  <c r="N177" i="52"/>
  <c r="M177" i="52"/>
  <c r="L177" i="52"/>
  <c r="K177" i="52"/>
  <c r="J177" i="52"/>
  <c r="I177" i="52"/>
  <c r="H177" i="52"/>
  <c r="N175" i="52"/>
  <c r="M175" i="52"/>
  <c r="L175" i="52"/>
  <c r="K175" i="52"/>
  <c r="K171" i="52"/>
  <c r="K172" i="52"/>
  <c r="K173" i="52"/>
  <c r="K169" i="52"/>
  <c r="K168" i="52"/>
  <c r="K155" i="52"/>
  <c r="K154" i="52"/>
  <c r="K153" i="52"/>
  <c r="J175" i="52"/>
  <c r="H175" i="52"/>
  <c r="I175" i="52"/>
  <c r="O175" i="52"/>
  <c r="N173" i="52"/>
  <c r="N171" i="52"/>
  <c r="N172" i="52"/>
  <c r="N169" i="52"/>
  <c r="N168" i="52"/>
  <c r="N155" i="52"/>
  <c r="N154" i="52"/>
  <c r="N153" i="52"/>
  <c r="M173" i="52"/>
  <c r="L173" i="52"/>
  <c r="J173" i="52"/>
  <c r="J171" i="52"/>
  <c r="J172" i="52"/>
  <c r="J169" i="52"/>
  <c r="J168" i="52"/>
  <c r="J155" i="52"/>
  <c r="J154" i="52"/>
  <c r="J153" i="52"/>
  <c r="I173" i="52"/>
  <c r="H173" i="52"/>
  <c r="M172" i="52"/>
  <c r="M171" i="52"/>
  <c r="M169" i="52"/>
  <c r="L172" i="52"/>
  <c r="I172" i="52"/>
  <c r="I171" i="52"/>
  <c r="I169" i="52"/>
  <c r="I168" i="52"/>
  <c r="H172" i="52"/>
  <c r="L171" i="52"/>
  <c r="H171" i="52"/>
  <c r="H169" i="52"/>
  <c r="N152" i="52"/>
  <c r="M152" i="52"/>
  <c r="L152" i="52"/>
  <c r="L151" i="52"/>
  <c r="L150" i="52"/>
  <c r="K152" i="52"/>
  <c r="K151" i="52"/>
  <c r="K150" i="52"/>
  <c r="J152" i="52"/>
  <c r="I152" i="52"/>
  <c r="H152" i="52"/>
  <c r="N151" i="52"/>
  <c r="N150" i="52"/>
  <c r="M151" i="52"/>
  <c r="J151" i="52"/>
  <c r="J150" i="52"/>
  <c r="I151" i="52"/>
  <c r="H151" i="52"/>
  <c r="L145" i="52"/>
  <c r="K145" i="52"/>
  <c r="N145" i="52"/>
  <c r="O145" i="52"/>
  <c r="N144" i="52"/>
  <c r="M144" i="52"/>
  <c r="L144" i="52"/>
  <c r="K144" i="52"/>
  <c r="J144" i="52"/>
  <c r="I144" i="52"/>
  <c r="O144" i="52"/>
  <c r="H144" i="52"/>
  <c r="N143" i="52"/>
  <c r="M143" i="52"/>
  <c r="L143" i="52"/>
  <c r="K143" i="52"/>
  <c r="J143" i="52"/>
  <c r="I143" i="52"/>
  <c r="H143" i="52"/>
  <c r="O143" i="52"/>
  <c r="N142" i="52"/>
  <c r="M142" i="52"/>
  <c r="L142" i="52"/>
  <c r="K142" i="52"/>
  <c r="J142" i="52"/>
  <c r="H142" i="52"/>
  <c r="I142" i="52"/>
  <c r="O142" i="52"/>
  <c r="N141" i="52"/>
  <c r="N139" i="52"/>
  <c r="N140" i="52"/>
  <c r="N138" i="52"/>
  <c r="M141" i="52"/>
  <c r="L141" i="52"/>
  <c r="K141" i="52"/>
  <c r="J141" i="52"/>
  <c r="H141" i="52"/>
  <c r="I141" i="52"/>
  <c r="O141" i="52"/>
  <c r="M140" i="52"/>
  <c r="L140" i="52"/>
  <c r="K140" i="52"/>
  <c r="J140" i="52"/>
  <c r="I140" i="52"/>
  <c r="O140" i="52"/>
  <c r="I139" i="52"/>
  <c r="J139" i="52"/>
  <c r="O139" i="52"/>
  <c r="O138" i="52"/>
  <c r="H140" i="52"/>
  <c r="M139" i="52"/>
  <c r="L139" i="52"/>
  <c r="L138" i="52"/>
  <c r="K139" i="52"/>
  <c r="H139" i="52"/>
  <c r="N137" i="52"/>
  <c r="M137" i="52"/>
  <c r="L137" i="52"/>
  <c r="K137" i="52"/>
  <c r="J137" i="52"/>
  <c r="I137" i="52"/>
  <c r="H137" i="52"/>
  <c r="O137" i="52"/>
  <c r="N136" i="52"/>
  <c r="M136" i="52"/>
  <c r="L136" i="52"/>
  <c r="K136" i="52"/>
  <c r="J136" i="52"/>
  <c r="H136" i="52"/>
  <c r="I136" i="52"/>
  <c r="O136" i="52"/>
  <c r="N135" i="52"/>
  <c r="M135" i="52"/>
  <c r="M133" i="52"/>
  <c r="M134" i="52"/>
  <c r="M132" i="52"/>
  <c r="L135" i="52"/>
  <c r="K135" i="52"/>
  <c r="J135" i="52"/>
  <c r="I135" i="52"/>
  <c r="I133" i="52"/>
  <c r="I134" i="52"/>
  <c r="I132" i="52"/>
  <c r="H135" i="52"/>
  <c r="N134" i="52"/>
  <c r="L134" i="52"/>
  <c r="L133" i="52"/>
  <c r="L132" i="52"/>
  <c r="K134" i="52"/>
  <c r="J134" i="52"/>
  <c r="H134" i="52"/>
  <c r="N133" i="52"/>
  <c r="K133" i="52"/>
  <c r="K132" i="52"/>
  <c r="J133" i="52"/>
  <c r="H133" i="52"/>
  <c r="N129" i="52"/>
  <c r="N127" i="52"/>
  <c r="N128" i="52"/>
  <c r="N126" i="52"/>
  <c r="N125" i="52"/>
  <c r="M129" i="52"/>
  <c r="L129" i="52"/>
  <c r="K129" i="52"/>
  <c r="J129" i="52"/>
  <c r="H129" i="52"/>
  <c r="I129" i="52"/>
  <c r="O129" i="52"/>
  <c r="M128" i="52"/>
  <c r="M127" i="52"/>
  <c r="M126" i="52"/>
  <c r="M125" i="52"/>
  <c r="L128" i="52"/>
  <c r="K128" i="52"/>
  <c r="J128" i="52"/>
  <c r="I128" i="52"/>
  <c r="I127" i="52"/>
  <c r="I126" i="52"/>
  <c r="I125" i="52"/>
  <c r="H128" i="52"/>
  <c r="L127" i="52"/>
  <c r="L126" i="52"/>
  <c r="L125" i="52"/>
  <c r="K127" i="52"/>
  <c r="K126" i="52"/>
  <c r="K125" i="52"/>
  <c r="J127" i="52"/>
  <c r="H127" i="52"/>
  <c r="O127" i="52"/>
  <c r="N121" i="52"/>
  <c r="M121" i="52"/>
  <c r="M120" i="52"/>
  <c r="M119" i="52"/>
  <c r="L121" i="52"/>
  <c r="K121" i="52"/>
  <c r="I119" i="52"/>
  <c r="N120" i="52"/>
  <c r="L120" i="52"/>
  <c r="L119" i="52"/>
  <c r="K120" i="52"/>
  <c r="K119" i="52"/>
  <c r="N117" i="52"/>
  <c r="N116" i="52"/>
  <c r="M117" i="52"/>
  <c r="L117" i="52"/>
  <c r="L116" i="52"/>
  <c r="K117" i="52"/>
  <c r="K116" i="52"/>
  <c r="J117" i="52"/>
  <c r="J116" i="52"/>
  <c r="I117" i="52"/>
  <c r="H117" i="52"/>
  <c r="N115" i="52"/>
  <c r="N114" i="52"/>
  <c r="M115" i="52"/>
  <c r="L115" i="52"/>
  <c r="K115" i="52"/>
  <c r="J115" i="52"/>
  <c r="H115" i="52"/>
  <c r="I115" i="52"/>
  <c r="O115" i="52"/>
  <c r="O114" i="52"/>
  <c r="N113" i="52"/>
  <c r="M113" i="52"/>
  <c r="L113" i="52"/>
  <c r="K113" i="52"/>
  <c r="J113" i="52"/>
  <c r="I113" i="52"/>
  <c r="O113" i="52"/>
  <c r="H113" i="52"/>
  <c r="N112" i="52"/>
  <c r="M112" i="52"/>
  <c r="L112" i="52"/>
  <c r="K112" i="52"/>
  <c r="J112" i="52"/>
  <c r="I112" i="52"/>
  <c r="O112" i="52"/>
  <c r="H112" i="52"/>
  <c r="N111" i="52"/>
  <c r="M111" i="52"/>
  <c r="L111" i="52"/>
  <c r="K111" i="52"/>
  <c r="K109" i="52"/>
  <c r="K110" i="52"/>
  <c r="K108" i="52"/>
  <c r="K114" i="52"/>
  <c r="K107" i="52"/>
  <c r="J111" i="52"/>
  <c r="H111" i="52"/>
  <c r="I111" i="52"/>
  <c r="O111" i="52"/>
  <c r="N110" i="52"/>
  <c r="N109" i="52"/>
  <c r="N108" i="52"/>
  <c r="M110" i="52"/>
  <c r="L110" i="52"/>
  <c r="J110" i="52"/>
  <c r="I110" i="52"/>
  <c r="H110" i="52"/>
  <c r="M109" i="52"/>
  <c r="M108" i="52"/>
  <c r="L109" i="52"/>
  <c r="J109" i="52"/>
  <c r="I109" i="52"/>
  <c r="I108" i="52"/>
  <c r="H109" i="52"/>
  <c r="N104" i="52"/>
  <c r="N103" i="52"/>
  <c r="M104" i="52"/>
  <c r="L104" i="52"/>
  <c r="K104" i="52"/>
  <c r="K103" i="52"/>
  <c r="K101" i="52"/>
  <c r="N100" i="52"/>
  <c r="M100" i="52"/>
  <c r="L100" i="52"/>
  <c r="K100" i="52"/>
  <c r="J100" i="52"/>
  <c r="H100" i="52"/>
  <c r="I100" i="52"/>
  <c r="O100" i="52"/>
  <c r="N99" i="52"/>
  <c r="M99" i="52"/>
  <c r="L99" i="52"/>
  <c r="K99" i="52"/>
  <c r="J99" i="52"/>
  <c r="I99" i="52"/>
  <c r="H99" i="52"/>
  <c r="N98" i="52"/>
  <c r="M98" i="52"/>
  <c r="L98" i="52"/>
  <c r="K98" i="52"/>
  <c r="J98" i="52"/>
  <c r="I98" i="52"/>
  <c r="H98" i="52"/>
  <c r="O98" i="52"/>
  <c r="N97" i="52"/>
  <c r="M97" i="52"/>
  <c r="L97" i="52"/>
  <c r="K97" i="52"/>
  <c r="K95" i="52"/>
  <c r="K96" i="52"/>
  <c r="K94" i="52"/>
  <c r="J97" i="52"/>
  <c r="I97" i="52"/>
  <c r="H97" i="52"/>
  <c r="O97" i="52"/>
  <c r="N96" i="52"/>
  <c r="N95" i="52"/>
  <c r="N94" i="52"/>
  <c r="M96" i="52"/>
  <c r="L96" i="52"/>
  <c r="J96" i="52"/>
  <c r="I96" i="52"/>
  <c r="H96" i="52"/>
  <c r="M95" i="52"/>
  <c r="M94" i="52"/>
  <c r="L95" i="52"/>
  <c r="J95" i="52"/>
  <c r="I95" i="52"/>
  <c r="I94" i="52"/>
  <c r="H95" i="52"/>
  <c r="N93" i="52"/>
  <c r="M93" i="52"/>
  <c r="L93" i="52"/>
  <c r="L91" i="52"/>
  <c r="L92" i="52"/>
  <c r="L90" i="52"/>
  <c r="K93" i="52"/>
  <c r="J93" i="52"/>
  <c r="I93" i="52"/>
  <c r="H93" i="52"/>
  <c r="H91" i="52"/>
  <c r="H92" i="52"/>
  <c r="H90" i="52"/>
  <c r="N92" i="52"/>
  <c r="M92" i="52"/>
  <c r="K92" i="52"/>
  <c r="K91" i="52"/>
  <c r="K90" i="52"/>
  <c r="J92" i="52"/>
  <c r="I92" i="52"/>
  <c r="N91" i="52"/>
  <c r="N90" i="52"/>
  <c r="M91" i="52"/>
  <c r="M90" i="52"/>
  <c r="J91" i="52"/>
  <c r="I91" i="52"/>
  <c r="O91" i="52"/>
  <c r="I90" i="52"/>
  <c r="N89" i="52"/>
  <c r="M89" i="52"/>
  <c r="M87" i="52"/>
  <c r="M88" i="52"/>
  <c r="M86" i="52"/>
  <c r="L89" i="52"/>
  <c r="K89" i="52"/>
  <c r="J89" i="52"/>
  <c r="I89" i="52"/>
  <c r="O89" i="52"/>
  <c r="H89" i="52"/>
  <c r="N88" i="52"/>
  <c r="L88" i="52"/>
  <c r="K88" i="52"/>
  <c r="J88" i="52"/>
  <c r="I88" i="52"/>
  <c r="H88" i="52"/>
  <c r="O88" i="52"/>
  <c r="N87" i="52"/>
  <c r="N86" i="52"/>
  <c r="L87" i="52"/>
  <c r="L86" i="52"/>
  <c r="K87" i="52"/>
  <c r="K86" i="52"/>
  <c r="J87" i="52"/>
  <c r="I87" i="52"/>
  <c r="H87" i="52"/>
  <c r="N85" i="52"/>
  <c r="M85" i="52"/>
  <c r="L85" i="52"/>
  <c r="K85" i="52"/>
  <c r="J85" i="52"/>
  <c r="I85" i="52"/>
  <c r="H85" i="52"/>
  <c r="N84" i="52"/>
  <c r="M84" i="52"/>
  <c r="L84" i="52"/>
  <c r="K84" i="52"/>
  <c r="J84" i="52"/>
  <c r="I84" i="52"/>
  <c r="O84" i="52"/>
  <c r="H84" i="52"/>
  <c r="N83" i="52"/>
  <c r="M83" i="52"/>
  <c r="L83" i="52"/>
  <c r="L81" i="52"/>
  <c r="L82" i="52"/>
  <c r="L80" i="52"/>
  <c r="K83" i="52"/>
  <c r="J83" i="52"/>
  <c r="I83" i="52"/>
  <c r="H83" i="52"/>
  <c r="O83" i="52"/>
  <c r="N82" i="52"/>
  <c r="M82" i="52"/>
  <c r="K82" i="52"/>
  <c r="K81" i="52"/>
  <c r="K80" i="52"/>
  <c r="J82" i="52"/>
  <c r="H82" i="52"/>
  <c r="I82" i="52"/>
  <c r="O82" i="52"/>
  <c r="N81" i="52"/>
  <c r="N80" i="52"/>
  <c r="M81" i="52"/>
  <c r="J81" i="52"/>
  <c r="I81" i="52"/>
  <c r="H81" i="52"/>
  <c r="N79" i="52"/>
  <c r="M79" i="52"/>
  <c r="M78" i="52"/>
  <c r="M77" i="52"/>
  <c r="L79" i="52"/>
  <c r="K79" i="52"/>
  <c r="J79" i="52"/>
  <c r="J78" i="52"/>
  <c r="J77" i="52"/>
  <c r="I79" i="52"/>
  <c r="H79" i="52"/>
  <c r="O79" i="52"/>
  <c r="N78" i="52"/>
  <c r="L78" i="52"/>
  <c r="L77" i="52"/>
  <c r="K78" i="52"/>
  <c r="K77" i="52"/>
  <c r="I78" i="52"/>
  <c r="H78" i="52"/>
  <c r="O78" i="52"/>
  <c r="O77" i="52"/>
  <c r="N76" i="52"/>
  <c r="M76" i="52"/>
  <c r="L76" i="52"/>
  <c r="K76" i="52"/>
  <c r="J76" i="52"/>
  <c r="H76" i="52"/>
  <c r="I76" i="52"/>
  <c r="O76" i="52"/>
  <c r="N75" i="52"/>
  <c r="N72" i="52"/>
  <c r="N73" i="52"/>
  <c r="N74" i="52"/>
  <c r="N71" i="52"/>
  <c r="N77" i="52"/>
  <c r="N70" i="52"/>
  <c r="M75" i="52"/>
  <c r="L75" i="52"/>
  <c r="K75" i="52"/>
  <c r="J75" i="52"/>
  <c r="J72" i="52"/>
  <c r="J73" i="52"/>
  <c r="J74" i="52"/>
  <c r="J71" i="52"/>
  <c r="I75" i="52"/>
  <c r="H75" i="52"/>
  <c r="M74" i="52"/>
  <c r="M72" i="52"/>
  <c r="M73" i="52"/>
  <c r="M71" i="52"/>
  <c r="L74" i="52"/>
  <c r="K74" i="52"/>
  <c r="I74" i="52"/>
  <c r="I72" i="52"/>
  <c r="I73" i="52"/>
  <c r="I71" i="52"/>
  <c r="H74" i="52"/>
  <c r="L73" i="52"/>
  <c r="L72" i="52"/>
  <c r="L71" i="52"/>
  <c r="K73" i="52"/>
  <c r="H73" i="52"/>
  <c r="O73" i="52"/>
  <c r="K72" i="52"/>
  <c r="H72" i="52"/>
  <c r="O72" i="52"/>
  <c r="N69" i="52"/>
  <c r="M69" i="52"/>
  <c r="L69" i="52"/>
  <c r="K69" i="52"/>
  <c r="J69" i="52"/>
  <c r="I69" i="52"/>
  <c r="H69" i="52"/>
  <c r="N68" i="52"/>
  <c r="M68" i="52"/>
  <c r="L68" i="52"/>
  <c r="K68" i="52"/>
  <c r="J68" i="52"/>
  <c r="I68" i="52"/>
  <c r="O68" i="52"/>
  <c r="H68" i="52"/>
  <c r="N67" i="52"/>
  <c r="M67" i="52"/>
  <c r="L67" i="52"/>
  <c r="K67" i="52"/>
  <c r="J67" i="52"/>
  <c r="I67" i="52"/>
  <c r="H67" i="52"/>
  <c r="N66" i="52"/>
  <c r="M66" i="52"/>
  <c r="L66" i="52"/>
  <c r="K66" i="52"/>
  <c r="K64" i="52"/>
  <c r="K65" i="52"/>
  <c r="K63" i="52"/>
  <c r="J66" i="52"/>
  <c r="I66" i="52"/>
  <c r="H66" i="52"/>
  <c r="O66" i="52"/>
  <c r="N65" i="52"/>
  <c r="N64" i="52"/>
  <c r="N63" i="52"/>
  <c r="M65" i="52"/>
  <c r="L65" i="52"/>
  <c r="J65" i="52"/>
  <c r="J64" i="52"/>
  <c r="J63" i="52"/>
  <c r="I65" i="52"/>
  <c r="H65" i="52"/>
  <c r="M64" i="52"/>
  <c r="M63" i="52"/>
  <c r="L64" i="52"/>
  <c r="I64" i="52"/>
  <c r="I63" i="52"/>
  <c r="H64" i="52"/>
  <c r="N62" i="52"/>
  <c r="M62" i="52"/>
  <c r="L62" i="52"/>
  <c r="K62" i="52"/>
  <c r="J62" i="52"/>
  <c r="I62" i="52"/>
  <c r="H62" i="52"/>
  <c r="N61" i="52"/>
  <c r="M61" i="52"/>
  <c r="L61" i="52"/>
  <c r="K61" i="52"/>
  <c r="J61" i="52"/>
  <c r="I61" i="52"/>
  <c r="H61" i="52"/>
  <c r="N60" i="52"/>
  <c r="M60" i="52"/>
  <c r="L60" i="52"/>
  <c r="K60" i="52"/>
  <c r="J60" i="52"/>
  <c r="I60" i="52"/>
  <c r="H60" i="52"/>
  <c r="N59" i="52"/>
  <c r="M59" i="52"/>
  <c r="L59" i="52"/>
  <c r="K59" i="52"/>
  <c r="J59" i="52"/>
  <c r="I59" i="52"/>
  <c r="H59" i="52"/>
  <c r="N58" i="52"/>
  <c r="M58" i="52"/>
  <c r="L58" i="52"/>
  <c r="L57" i="52"/>
  <c r="L56" i="52"/>
  <c r="K58" i="52"/>
  <c r="J58" i="52"/>
  <c r="I58" i="52"/>
  <c r="H58" i="52"/>
  <c r="N57" i="52"/>
  <c r="M57" i="52"/>
  <c r="K57" i="52"/>
  <c r="K56" i="52"/>
  <c r="J57" i="52"/>
  <c r="I57" i="52"/>
  <c r="H57" i="52"/>
  <c r="N55" i="52"/>
  <c r="M55" i="52"/>
  <c r="L55" i="52"/>
  <c r="K55" i="52"/>
  <c r="J55" i="52"/>
  <c r="I55" i="52"/>
  <c r="H55" i="52"/>
  <c r="N54" i="52"/>
  <c r="M54" i="52"/>
  <c r="L54" i="52"/>
  <c r="K54" i="52"/>
  <c r="J54" i="52"/>
  <c r="I54" i="52"/>
  <c r="H54" i="52"/>
  <c r="N53" i="52"/>
  <c r="M53" i="52"/>
  <c r="L53" i="52"/>
  <c r="K53" i="52"/>
  <c r="J53" i="52"/>
  <c r="I53" i="52"/>
  <c r="O53" i="52"/>
  <c r="H53" i="52"/>
  <c r="N52" i="52"/>
  <c r="M52" i="52"/>
  <c r="L52" i="52"/>
  <c r="K52" i="52"/>
  <c r="J52" i="52"/>
  <c r="H52" i="52"/>
  <c r="I52" i="52"/>
  <c r="O52" i="52"/>
  <c r="N51" i="52"/>
  <c r="M51" i="52"/>
  <c r="L51" i="52"/>
  <c r="K51" i="52"/>
  <c r="J51" i="52"/>
  <c r="I51" i="52"/>
  <c r="H51" i="52"/>
  <c r="N50" i="52"/>
  <c r="M50" i="52"/>
  <c r="L50" i="52"/>
  <c r="K50" i="52"/>
  <c r="J50" i="52"/>
  <c r="I50" i="52"/>
  <c r="I48" i="52"/>
  <c r="I49" i="52"/>
  <c r="I47" i="52"/>
  <c r="H50" i="52"/>
  <c r="N49" i="52"/>
  <c r="M49" i="52"/>
  <c r="M48" i="52"/>
  <c r="M47" i="52"/>
  <c r="L49" i="52"/>
  <c r="L48" i="52"/>
  <c r="L47" i="52"/>
  <c r="K49" i="52"/>
  <c r="J49" i="52"/>
  <c r="H49" i="52"/>
  <c r="N48" i="52"/>
  <c r="K48" i="52"/>
  <c r="K47" i="52"/>
  <c r="J48" i="52"/>
  <c r="H48" i="52"/>
  <c r="N46" i="52"/>
  <c r="M46" i="52"/>
  <c r="L46" i="52"/>
  <c r="K46" i="52"/>
  <c r="J46" i="52"/>
  <c r="I46" i="52"/>
  <c r="H46" i="52"/>
  <c r="N44" i="52"/>
  <c r="M44" i="52"/>
  <c r="L44" i="52"/>
  <c r="K44" i="52"/>
  <c r="J44" i="52"/>
  <c r="I44" i="52"/>
  <c r="H44" i="52"/>
  <c r="N43" i="52"/>
  <c r="M43" i="52"/>
  <c r="L43" i="52"/>
  <c r="K43" i="52"/>
  <c r="J43" i="52"/>
  <c r="I43" i="52"/>
  <c r="H43" i="52"/>
  <c r="O43" i="52"/>
  <c r="N42" i="52"/>
  <c r="M42" i="52"/>
  <c r="L42" i="52"/>
  <c r="K42" i="52"/>
  <c r="J42" i="52"/>
  <c r="I42" i="52"/>
  <c r="H42" i="52"/>
  <c r="N41" i="52"/>
  <c r="M41" i="52"/>
  <c r="L41" i="52"/>
  <c r="K41" i="52"/>
  <c r="J41" i="52"/>
  <c r="I41" i="52"/>
  <c r="H41" i="52"/>
  <c r="N40" i="52"/>
  <c r="M40" i="52"/>
  <c r="M38" i="52"/>
  <c r="M39" i="52"/>
  <c r="M37" i="52"/>
  <c r="L40" i="52"/>
  <c r="K40" i="52"/>
  <c r="J40" i="52"/>
  <c r="I40" i="52"/>
  <c r="H40" i="52"/>
  <c r="N39" i="52"/>
  <c r="L39" i="52"/>
  <c r="L38" i="52"/>
  <c r="L37" i="52"/>
  <c r="K39" i="52"/>
  <c r="J39" i="52"/>
  <c r="I39" i="52"/>
  <c r="H39" i="52"/>
  <c r="H38" i="52"/>
  <c r="H37" i="52"/>
  <c r="N38" i="52"/>
  <c r="K38" i="52"/>
  <c r="K37" i="52"/>
  <c r="J38" i="52"/>
  <c r="I38" i="52"/>
  <c r="O38" i="52"/>
  <c r="N35" i="52"/>
  <c r="M35" i="52"/>
  <c r="L35" i="52"/>
  <c r="K35" i="52"/>
  <c r="J35" i="52"/>
  <c r="H35" i="52"/>
  <c r="I35" i="52"/>
  <c r="O35" i="52"/>
  <c r="N34" i="52"/>
  <c r="M34" i="52"/>
  <c r="L34" i="52"/>
  <c r="K34" i="52"/>
  <c r="J34" i="52"/>
  <c r="I34" i="52"/>
  <c r="H34" i="52"/>
  <c r="O34" i="52"/>
  <c r="N33" i="52"/>
  <c r="M33" i="52"/>
  <c r="L33" i="52"/>
  <c r="K33" i="52"/>
  <c r="K32" i="52"/>
  <c r="J33" i="52"/>
  <c r="I33" i="52"/>
  <c r="H33" i="52"/>
  <c r="N31" i="52"/>
  <c r="M31" i="52"/>
  <c r="L31" i="52"/>
  <c r="K31" i="52"/>
  <c r="K30" i="52"/>
  <c r="K29" i="52"/>
  <c r="K28" i="52"/>
  <c r="K26" i="52"/>
  <c r="J31" i="52"/>
  <c r="H31" i="52"/>
  <c r="I31" i="52"/>
  <c r="O31" i="52"/>
  <c r="N30" i="52"/>
  <c r="N29" i="52"/>
  <c r="M30" i="52"/>
  <c r="M29" i="52"/>
  <c r="L30" i="52"/>
  <c r="J30" i="52"/>
  <c r="J29" i="52"/>
  <c r="I30" i="52"/>
  <c r="H30" i="52"/>
  <c r="N25" i="52"/>
  <c r="M25" i="52"/>
  <c r="L25" i="52"/>
  <c r="K25" i="52"/>
  <c r="J25" i="52"/>
  <c r="I25" i="52"/>
  <c r="H25" i="52"/>
  <c r="O25" i="52"/>
  <c r="N24" i="52"/>
  <c r="M24" i="52"/>
  <c r="L24" i="52"/>
  <c r="K24" i="52"/>
  <c r="J24" i="52"/>
  <c r="I24" i="52"/>
  <c r="H24" i="52"/>
  <c r="O24" i="52"/>
  <c r="N23" i="52"/>
  <c r="M23" i="52"/>
  <c r="L23" i="52"/>
  <c r="K23" i="52"/>
  <c r="J23" i="52"/>
  <c r="H23" i="52"/>
  <c r="I23" i="52"/>
  <c r="O23" i="52"/>
  <c r="N22" i="52"/>
  <c r="M22" i="52"/>
  <c r="L22" i="52"/>
  <c r="K22" i="52"/>
  <c r="J22" i="52"/>
  <c r="I22" i="52"/>
  <c r="H22" i="52"/>
  <c r="N21" i="52"/>
  <c r="M21" i="52"/>
  <c r="L21" i="52"/>
  <c r="K21" i="52"/>
  <c r="J21" i="52"/>
  <c r="I21" i="52"/>
  <c r="H21" i="52"/>
  <c r="O21" i="52"/>
  <c r="N20" i="52"/>
  <c r="M20" i="52"/>
  <c r="L20" i="52"/>
  <c r="L18" i="52"/>
  <c r="L19" i="52"/>
  <c r="L17" i="52"/>
  <c r="K20" i="52"/>
  <c r="J20" i="52"/>
  <c r="I20" i="52"/>
  <c r="H20" i="52"/>
  <c r="N19" i="52"/>
  <c r="M19" i="52"/>
  <c r="K19" i="52"/>
  <c r="J19" i="52"/>
  <c r="H19" i="52"/>
  <c r="I19" i="52"/>
  <c r="O19" i="52"/>
  <c r="N18" i="52"/>
  <c r="N17" i="52"/>
  <c r="M18" i="52"/>
  <c r="K18" i="52"/>
  <c r="J18" i="52"/>
  <c r="J17" i="52"/>
  <c r="I18" i="52"/>
  <c r="H18" i="52"/>
  <c r="N14" i="52"/>
  <c r="M14" i="52"/>
  <c r="L14" i="52"/>
  <c r="K14" i="52"/>
  <c r="J14" i="52"/>
  <c r="I14" i="52"/>
  <c r="O14" i="52"/>
  <c r="H14" i="52"/>
  <c r="N13" i="52"/>
  <c r="M13" i="52"/>
  <c r="L13" i="52"/>
  <c r="L10" i="52"/>
  <c r="L11" i="52"/>
  <c r="L12" i="52"/>
  <c r="L9" i="52"/>
  <c r="L8" i="52"/>
  <c r="K13" i="52"/>
  <c r="J13" i="52"/>
  <c r="I13" i="52"/>
  <c r="H13" i="52"/>
  <c r="O13" i="52"/>
  <c r="N12" i="52"/>
  <c r="M12" i="52"/>
  <c r="K12" i="52"/>
  <c r="K10" i="52"/>
  <c r="K11" i="52"/>
  <c r="K9" i="52"/>
  <c r="K8" i="52"/>
  <c r="J12" i="52"/>
  <c r="H12" i="52"/>
  <c r="I12" i="52"/>
  <c r="O12" i="52"/>
  <c r="N11" i="52"/>
  <c r="N10" i="52"/>
  <c r="N9" i="52"/>
  <c r="N8" i="52"/>
  <c r="M11" i="52"/>
  <c r="J11" i="52"/>
  <c r="I11" i="52"/>
  <c r="H11" i="52"/>
  <c r="M10" i="52"/>
  <c r="M9" i="52"/>
  <c r="J10" i="52"/>
  <c r="I10" i="52"/>
  <c r="H10" i="52"/>
  <c r="O201" i="54"/>
  <c r="H188" i="54"/>
  <c r="O187" i="54"/>
  <c r="O184" i="54"/>
  <c r="O182" i="54"/>
  <c r="O180" i="54"/>
  <c r="O179" i="54"/>
  <c r="O176" i="54"/>
  <c r="I169" i="54"/>
  <c r="O174" i="54"/>
  <c r="O165" i="54"/>
  <c r="O164" i="54"/>
  <c r="O163" i="54"/>
  <c r="O162" i="54"/>
  <c r="O161" i="54"/>
  <c r="I160" i="54"/>
  <c r="O160" i="54"/>
  <c r="O159" i="54"/>
  <c r="I158" i="54"/>
  <c r="O157" i="54"/>
  <c r="O156" i="54"/>
  <c r="N155" i="54"/>
  <c r="M155" i="54"/>
  <c r="L155" i="54"/>
  <c r="K155" i="54"/>
  <c r="J155" i="54"/>
  <c r="H155" i="54"/>
  <c r="N154" i="54"/>
  <c r="M154" i="54"/>
  <c r="L154" i="54"/>
  <c r="K154" i="54"/>
  <c r="J154" i="54"/>
  <c r="H154" i="54"/>
  <c r="N150" i="54"/>
  <c r="K150" i="54"/>
  <c r="N145" i="54"/>
  <c r="J145" i="54"/>
  <c r="O133" i="54"/>
  <c r="K132" i="54"/>
  <c r="K119" i="54"/>
  <c r="I119" i="54"/>
  <c r="N116" i="54"/>
  <c r="K116" i="54"/>
  <c r="J116" i="54"/>
  <c r="O115" i="54"/>
  <c r="O114" i="54"/>
  <c r="M114" i="54"/>
  <c r="I114" i="54"/>
  <c r="H114" i="54"/>
  <c r="O110" i="54"/>
  <c r="N103" i="54"/>
  <c r="J103" i="54"/>
  <c r="I103" i="54"/>
  <c r="O91" i="54"/>
  <c r="L90" i="54"/>
  <c r="L77" i="54"/>
  <c r="K77" i="54"/>
  <c r="J63" i="54"/>
  <c r="O61" i="54"/>
  <c r="O55" i="54"/>
  <c r="J47" i="54"/>
  <c r="O46" i="54"/>
  <c r="O45" i="54"/>
  <c r="L45" i="54"/>
  <c r="K45" i="54"/>
  <c r="I45" i="54"/>
  <c r="H45" i="54"/>
  <c r="O39" i="54"/>
  <c r="O33" i="54"/>
  <c r="M29" i="54"/>
  <c r="L29" i="54"/>
  <c r="I29" i="54"/>
  <c r="N9" i="54"/>
  <c r="N8" i="54"/>
  <c r="J9" i="54"/>
  <c r="J8" i="54"/>
  <c r="I188" i="53"/>
  <c r="O187" i="53"/>
  <c r="O184" i="53"/>
  <c r="O182" i="53"/>
  <c r="O181" i="53"/>
  <c r="O180" i="53"/>
  <c r="O179" i="53"/>
  <c r="O176" i="53"/>
  <c r="O174" i="53"/>
  <c r="O165" i="53"/>
  <c r="O164" i="53"/>
  <c r="O163" i="53"/>
  <c r="O162" i="53"/>
  <c r="O161" i="53"/>
  <c r="I160" i="53"/>
  <c r="O160" i="53"/>
  <c r="O159" i="53"/>
  <c r="I158" i="53"/>
  <c r="O158" i="53"/>
  <c r="O157" i="53"/>
  <c r="O156" i="53"/>
  <c r="N155" i="53"/>
  <c r="M155" i="53"/>
  <c r="L155" i="53"/>
  <c r="K155" i="53"/>
  <c r="J155" i="53"/>
  <c r="H155" i="53"/>
  <c r="N154" i="53"/>
  <c r="M154" i="53"/>
  <c r="L154" i="53"/>
  <c r="K154" i="53"/>
  <c r="J154" i="53"/>
  <c r="H154" i="53"/>
  <c r="M150" i="53"/>
  <c r="N145" i="53"/>
  <c r="J145" i="53"/>
  <c r="H138" i="53"/>
  <c r="O133" i="53"/>
  <c r="H126" i="53"/>
  <c r="H125" i="53"/>
  <c r="L125" i="53"/>
  <c r="L119" i="53"/>
  <c r="K119" i="53"/>
  <c r="N116" i="53"/>
  <c r="M116" i="53"/>
  <c r="J116" i="53"/>
  <c r="M114" i="53"/>
  <c r="I114" i="53"/>
  <c r="H114" i="53"/>
  <c r="O112" i="53"/>
  <c r="N103" i="53"/>
  <c r="J103" i="53"/>
  <c r="I103" i="53"/>
  <c r="O93" i="53"/>
  <c r="O88" i="53"/>
  <c r="K77" i="53"/>
  <c r="H77" i="53"/>
  <c r="O69" i="53"/>
  <c r="O61" i="53"/>
  <c r="L56" i="53"/>
  <c r="H56" i="53"/>
  <c r="O51" i="53"/>
  <c r="O46" i="53"/>
  <c r="O45" i="53"/>
  <c r="M45" i="53"/>
  <c r="I45" i="53"/>
  <c r="H45" i="53"/>
  <c r="O42" i="53"/>
  <c r="L37" i="53"/>
  <c r="M29" i="53"/>
  <c r="O22" i="53"/>
  <c r="O18" i="53"/>
  <c r="O11" i="53"/>
  <c r="O203" i="52"/>
  <c r="M188" i="52"/>
  <c r="O187" i="52"/>
  <c r="O184" i="52"/>
  <c r="O182" i="52"/>
  <c r="O180" i="52"/>
  <c r="O179" i="52"/>
  <c r="L169" i="52"/>
  <c r="O176" i="52"/>
  <c r="O174" i="52"/>
  <c r="O165" i="52"/>
  <c r="O164" i="52"/>
  <c r="O163" i="52"/>
  <c r="O162" i="52"/>
  <c r="O161" i="52"/>
  <c r="I160" i="52"/>
  <c r="O160" i="52"/>
  <c r="O159" i="52"/>
  <c r="I158" i="52"/>
  <c r="O158" i="52"/>
  <c r="O157" i="52"/>
  <c r="O156" i="52"/>
  <c r="M155" i="52"/>
  <c r="L155" i="52"/>
  <c r="H155" i="52"/>
  <c r="M154" i="52"/>
  <c r="L154" i="52"/>
  <c r="H154" i="52"/>
  <c r="O152" i="52"/>
  <c r="M150" i="52"/>
  <c r="H150" i="52"/>
  <c r="M145" i="52"/>
  <c r="I145" i="52"/>
  <c r="K138" i="52"/>
  <c r="N119" i="52"/>
  <c r="J119" i="52"/>
  <c r="O117" i="52"/>
  <c r="O116" i="52"/>
  <c r="M116" i="52"/>
  <c r="I116" i="52"/>
  <c r="H116" i="52"/>
  <c r="M114" i="52"/>
  <c r="L114" i="52"/>
  <c r="I114" i="52"/>
  <c r="H114" i="52"/>
  <c r="M103" i="52"/>
  <c r="L103" i="52"/>
  <c r="I103" i="52"/>
  <c r="H103" i="52"/>
  <c r="O92" i="52"/>
  <c r="O87" i="52"/>
  <c r="J86" i="52"/>
  <c r="K71" i="52"/>
  <c r="O67" i="52"/>
  <c r="O62" i="52"/>
  <c r="O61" i="52"/>
  <c r="M56" i="52"/>
  <c r="I56" i="52"/>
  <c r="O48" i="52"/>
  <c r="N45" i="52"/>
  <c r="M45" i="52"/>
  <c r="L45" i="52"/>
  <c r="K45" i="52"/>
  <c r="J45" i="52"/>
  <c r="I45" i="52"/>
  <c r="H45" i="52"/>
  <c r="O42" i="52"/>
  <c r="O39" i="52"/>
  <c r="I37" i="52"/>
  <c r="L29" i="52"/>
  <c r="H29" i="52"/>
  <c r="O22" i="52"/>
  <c r="M8" i="52"/>
  <c r="N220" i="51"/>
  <c r="M220" i="51"/>
  <c r="L220" i="51"/>
  <c r="K220" i="51"/>
  <c r="J220" i="51"/>
  <c r="I220" i="51"/>
  <c r="H220" i="51"/>
  <c r="O220" i="51"/>
  <c r="N218" i="51"/>
  <c r="M218" i="51"/>
  <c r="L218" i="51"/>
  <c r="K218" i="51"/>
  <c r="J218" i="51"/>
  <c r="I218" i="51"/>
  <c r="H218" i="51"/>
  <c r="N215" i="51"/>
  <c r="M215" i="51"/>
  <c r="L215" i="51"/>
  <c r="K215" i="51"/>
  <c r="J215" i="51"/>
  <c r="I215" i="51"/>
  <c r="H215" i="51"/>
  <c r="N213" i="51"/>
  <c r="M213" i="51"/>
  <c r="L213" i="51"/>
  <c r="K213" i="51"/>
  <c r="J213" i="51"/>
  <c r="I213" i="51"/>
  <c r="H213" i="51"/>
  <c r="N209" i="51"/>
  <c r="M209" i="51"/>
  <c r="L209" i="51"/>
  <c r="K209" i="51"/>
  <c r="J209" i="51"/>
  <c r="I209" i="51"/>
  <c r="H209" i="51"/>
  <c r="O209" i="51"/>
  <c r="N207" i="51"/>
  <c r="M207" i="51"/>
  <c r="L207" i="51"/>
  <c r="K207" i="51"/>
  <c r="K204" i="51"/>
  <c r="J207" i="51"/>
  <c r="I207" i="51"/>
  <c r="H207" i="51"/>
  <c r="N203" i="51"/>
  <c r="M203" i="51"/>
  <c r="L203" i="51"/>
  <c r="K203" i="51"/>
  <c r="J203" i="51"/>
  <c r="H203" i="51"/>
  <c r="I203" i="51"/>
  <c r="O203" i="51"/>
  <c r="N201" i="51"/>
  <c r="M201" i="51"/>
  <c r="L201" i="51"/>
  <c r="K201" i="51"/>
  <c r="J201" i="51"/>
  <c r="I201" i="51"/>
  <c r="H201" i="51"/>
  <c r="O201" i="51"/>
  <c r="N198" i="51"/>
  <c r="M198" i="51"/>
  <c r="L198" i="51"/>
  <c r="K198" i="51"/>
  <c r="J198" i="51"/>
  <c r="I198" i="51"/>
  <c r="H198" i="51"/>
  <c r="N196" i="51"/>
  <c r="M196" i="51"/>
  <c r="L196" i="51"/>
  <c r="K196" i="51"/>
  <c r="J196" i="51"/>
  <c r="I196" i="51"/>
  <c r="H196" i="51"/>
  <c r="N193" i="51"/>
  <c r="M193" i="51"/>
  <c r="L193" i="51"/>
  <c r="K193" i="51"/>
  <c r="J193" i="51"/>
  <c r="H193" i="51"/>
  <c r="I193" i="51"/>
  <c r="O193" i="51"/>
  <c r="N191" i="51"/>
  <c r="M191" i="51"/>
  <c r="M188" i="51"/>
  <c r="L191" i="51"/>
  <c r="K191" i="51"/>
  <c r="J191" i="51"/>
  <c r="I191" i="51"/>
  <c r="I188" i="51"/>
  <c r="H191" i="51"/>
  <c r="N186" i="51"/>
  <c r="M186" i="51"/>
  <c r="L186" i="51"/>
  <c r="K186" i="51"/>
  <c r="J186" i="51"/>
  <c r="I186" i="51"/>
  <c r="H186" i="51"/>
  <c r="N185" i="51"/>
  <c r="M185" i="51"/>
  <c r="L185" i="51"/>
  <c r="K185" i="51"/>
  <c r="J185" i="51"/>
  <c r="I185" i="51"/>
  <c r="H185" i="51"/>
  <c r="N183" i="51"/>
  <c r="M183" i="51"/>
  <c r="L183" i="51"/>
  <c r="K183" i="51"/>
  <c r="J183" i="51"/>
  <c r="I183" i="51"/>
  <c r="H183" i="51"/>
  <c r="N181" i="51"/>
  <c r="M181" i="51"/>
  <c r="L181" i="51"/>
  <c r="K181" i="51"/>
  <c r="J181" i="51"/>
  <c r="I181" i="51"/>
  <c r="H181" i="51"/>
  <c r="O181" i="51"/>
  <c r="N178" i="51"/>
  <c r="M178" i="51"/>
  <c r="L178" i="51"/>
  <c r="K178" i="51"/>
  <c r="J178" i="51"/>
  <c r="I178" i="51"/>
  <c r="H178" i="51"/>
  <c r="N177" i="51"/>
  <c r="M177" i="51"/>
  <c r="L177" i="51"/>
  <c r="K177" i="51"/>
  <c r="J177" i="51"/>
  <c r="I177" i="51"/>
  <c r="H177" i="51"/>
  <c r="N175" i="51"/>
  <c r="M175" i="51"/>
  <c r="L175" i="51"/>
  <c r="K175" i="51"/>
  <c r="J175" i="51"/>
  <c r="I175" i="51"/>
  <c r="H175" i="51"/>
  <c r="O175" i="51"/>
  <c r="N173" i="51"/>
  <c r="M173" i="51"/>
  <c r="L173" i="51"/>
  <c r="K173" i="51"/>
  <c r="J173" i="51"/>
  <c r="I173" i="51"/>
  <c r="H173" i="51"/>
  <c r="O173" i="51"/>
  <c r="N172" i="51"/>
  <c r="M172" i="51"/>
  <c r="L172" i="51"/>
  <c r="K172" i="51"/>
  <c r="J172" i="51"/>
  <c r="I172" i="51"/>
  <c r="H172" i="51"/>
  <c r="O172" i="51"/>
  <c r="N171" i="51"/>
  <c r="M171" i="51"/>
  <c r="L171" i="51"/>
  <c r="K171" i="51"/>
  <c r="K169" i="51"/>
  <c r="J171" i="51"/>
  <c r="I171" i="51"/>
  <c r="H171" i="51"/>
  <c r="N152" i="51"/>
  <c r="M152" i="51"/>
  <c r="L152" i="51"/>
  <c r="K152" i="51"/>
  <c r="K151" i="51"/>
  <c r="K150" i="51"/>
  <c r="J152" i="51"/>
  <c r="I152" i="51"/>
  <c r="H152" i="51"/>
  <c r="N151" i="51"/>
  <c r="M151" i="51"/>
  <c r="M150" i="51"/>
  <c r="L151" i="51"/>
  <c r="J151" i="51"/>
  <c r="I151" i="51"/>
  <c r="I150" i="51"/>
  <c r="H151" i="51"/>
  <c r="L145" i="51"/>
  <c r="N145" i="51"/>
  <c r="M145" i="51"/>
  <c r="J145" i="51"/>
  <c r="I145" i="51"/>
  <c r="N144" i="51"/>
  <c r="M144" i="51"/>
  <c r="L144" i="51"/>
  <c r="K144" i="51"/>
  <c r="J144" i="51"/>
  <c r="I144" i="51"/>
  <c r="O144" i="51"/>
  <c r="H144" i="51"/>
  <c r="N143" i="51"/>
  <c r="M143" i="51"/>
  <c r="L143" i="51"/>
  <c r="K143" i="51"/>
  <c r="J143" i="51"/>
  <c r="I143" i="51"/>
  <c r="H143" i="51"/>
  <c r="N142" i="51"/>
  <c r="M142" i="51"/>
  <c r="L142" i="51"/>
  <c r="K142" i="51"/>
  <c r="K139" i="51"/>
  <c r="K140" i="51"/>
  <c r="K141" i="51"/>
  <c r="K138" i="51"/>
  <c r="J142" i="51"/>
  <c r="H142" i="51"/>
  <c r="I142" i="51"/>
  <c r="O142" i="51"/>
  <c r="N141" i="51"/>
  <c r="N139" i="51"/>
  <c r="N140" i="51"/>
  <c r="N138" i="51"/>
  <c r="M141" i="51"/>
  <c r="L141" i="51"/>
  <c r="J141" i="51"/>
  <c r="J139" i="51"/>
  <c r="J140" i="51"/>
  <c r="J138" i="51"/>
  <c r="I141" i="51"/>
  <c r="H141" i="51"/>
  <c r="M140" i="51"/>
  <c r="L140" i="51"/>
  <c r="I140" i="51"/>
  <c r="I139" i="51"/>
  <c r="I138" i="51"/>
  <c r="H140" i="51"/>
  <c r="M139" i="51"/>
  <c r="L139" i="51"/>
  <c r="L138" i="51"/>
  <c r="H139" i="51"/>
  <c r="N137" i="51"/>
  <c r="M137" i="51"/>
  <c r="L137" i="51"/>
  <c r="K137" i="51"/>
  <c r="J137" i="51"/>
  <c r="H137" i="51"/>
  <c r="I137" i="51"/>
  <c r="O137" i="51"/>
  <c r="N136" i="51"/>
  <c r="M136" i="51"/>
  <c r="L136" i="51"/>
  <c r="K136" i="51"/>
  <c r="J136" i="51"/>
  <c r="I136" i="51"/>
  <c r="H136" i="51"/>
  <c r="N135" i="51"/>
  <c r="M135" i="51"/>
  <c r="M133" i="51"/>
  <c r="M134" i="51"/>
  <c r="M132" i="51"/>
  <c r="L135" i="51"/>
  <c r="K135" i="51"/>
  <c r="J135" i="51"/>
  <c r="I135" i="51"/>
  <c r="I133" i="51"/>
  <c r="I134" i="51"/>
  <c r="I132" i="51"/>
  <c r="H135" i="51"/>
  <c r="N134" i="51"/>
  <c r="L134" i="51"/>
  <c r="L133" i="51"/>
  <c r="L132" i="51"/>
  <c r="K134" i="51"/>
  <c r="J134" i="51"/>
  <c r="H134" i="51"/>
  <c r="H132" i="51"/>
  <c r="N133" i="51"/>
  <c r="K133" i="51"/>
  <c r="K132" i="51"/>
  <c r="J133" i="51"/>
  <c r="H133" i="51"/>
  <c r="N129" i="51"/>
  <c r="N127" i="51"/>
  <c r="N128" i="51"/>
  <c r="N126" i="51"/>
  <c r="N125" i="51"/>
  <c r="M129" i="51"/>
  <c r="L129" i="51"/>
  <c r="K129" i="51"/>
  <c r="J129" i="51"/>
  <c r="J127" i="51"/>
  <c r="J128" i="51"/>
  <c r="J126" i="51"/>
  <c r="J125" i="51"/>
  <c r="I129" i="51"/>
  <c r="H129" i="51"/>
  <c r="M128" i="51"/>
  <c r="L128" i="51"/>
  <c r="K128" i="51"/>
  <c r="I128" i="51"/>
  <c r="H128" i="51"/>
  <c r="O128" i="51"/>
  <c r="M127" i="51"/>
  <c r="L127" i="51"/>
  <c r="L126" i="51"/>
  <c r="L125" i="51"/>
  <c r="K127" i="51"/>
  <c r="K126" i="51"/>
  <c r="K125" i="51"/>
  <c r="I127" i="51"/>
  <c r="H127" i="51"/>
  <c r="O127" i="51"/>
  <c r="N121" i="51"/>
  <c r="M121" i="51"/>
  <c r="M120" i="51"/>
  <c r="M119" i="51"/>
  <c r="L121" i="51"/>
  <c r="K121" i="51"/>
  <c r="J119" i="51"/>
  <c r="I119" i="51"/>
  <c r="N120" i="51"/>
  <c r="L120" i="51"/>
  <c r="L119" i="51"/>
  <c r="K120" i="51"/>
  <c r="K119" i="51"/>
  <c r="H119" i="51"/>
  <c r="N117" i="51"/>
  <c r="N116" i="51"/>
  <c r="M117" i="51"/>
  <c r="L117" i="51"/>
  <c r="K117" i="51"/>
  <c r="K116" i="51"/>
  <c r="J117" i="51"/>
  <c r="H117" i="51"/>
  <c r="I117" i="51"/>
  <c r="O117" i="51"/>
  <c r="O116" i="51"/>
  <c r="H116" i="51"/>
  <c r="N115" i="51"/>
  <c r="N114" i="51"/>
  <c r="M115" i="51"/>
  <c r="M114" i="51"/>
  <c r="L115" i="51"/>
  <c r="K115" i="51"/>
  <c r="J115" i="51"/>
  <c r="J114" i="51"/>
  <c r="I115" i="51"/>
  <c r="H115" i="51"/>
  <c r="N113" i="51"/>
  <c r="M113" i="51"/>
  <c r="L113" i="51"/>
  <c r="K113" i="51"/>
  <c r="J113" i="51"/>
  <c r="I113" i="51"/>
  <c r="O113" i="51"/>
  <c r="H113" i="51"/>
  <c r="N112" i="51"/>
  <c r="M112" i="51"/>
  <c r="L112" i="51"/>
  <c r="L109" i="51"/>
  <c r="L110" i="51"/>
  <c r="L111" i="51"/>
  <c r="L108" i="51"/>
  <c r="L114" i="51"/>
  <c r="L107" i="51"/>
  <c r="K112" i="51"/>
  <c r="J112" i="51"/>
  <c r="I112" i="51"/>
  <c r="H112" i="51"/>
  <c r="N111" i="51"/>
  <c r="M111" i="51"/>
  <c r="K111" i="51"/>
  <c r="K109" i="51"/>
  <c r="K110" i="51"/>
  <c r="K108" i="51"/>
  <c r="K114" i="51"/>
  <c r="K107" i="51"/>
  <c r="J111" i="51"/>
  <c r="H111" i="51"/>
  <c r="I111" i="51"/>
  <c r="O111" i="51"/>
  <c r="N110" i="51"/>
  <c r="N109" i="51"/>
  <c r="N108" i="51"/>
  <c r="N107" i="51"/>
  <c r="M110" i="51"/>
  <c r="J110" i="51"/>
  <c r="J109" i="51"/>
  <c r="J108" i="51"/>
  <c r="J107" i="51"/>
  <c r="I110" i="51"/>
  <c r="H110" i="51"/>
  <c r="M109" i="51"/>
  <c r="M108" i="51"/>
  <c r="I109" i="51"/>
  <c r="I108" i="51"/>
  <c r="H109" i="51"/>
  <c r="N104" i="51"/>
  <c r="N103" i="51"/>
  <c r="M104" i="51"/>
  <c r="L104" i="51"/>
  <c r="K104" i="51"/>
  <c r="K103" i="51"/>
  <c r="J103" i="51"/>
  <c r="N100" i="51"/>
  <c r="M100" i="51"/>
  <c r="L100" i="51"/>
  <c r="K100" i="51"/>
  <c r="J100" i="51"/>
  <c r="I100" i="51"/>
  <c r="H100" i="51"/>
  <c r="N99" i="51"/>
  <c r="M99" i="51"/>
  <c r="L99" i="51"/>
  <c r="K99" i="51"/>
  <c r="J99" i="51"/>
  <c r="I99" i="51"/>
  <c r="H99" i="51"/>
  <c r="N98" i="51"/>
  <c r="M98" i="51"/>
  <c r="L98" i="51"/>
  <c r="K98" i="51"/>
  <c r="J98" i="51"/>
  <c r="I98" i="51"/>
  <c r="H98" i="51"/>
  <c r="O98" i="51"/>
  <c r="N97" i="51"/>
  <c r="M97" i="51"/>
  <c r="L97" i="51"/>
  <c r="K97" i="51"/>
  <c r="J97" i="51"/>
  <c r="H97" i="51"/>
  <c r="I97" i="51"/>
  <c r="O97" i="51"/>
  <c r="N96" i="51"/>
  <c r="N95" i="51"/>
  <c r="N94" i="51"/>
  <c r="M96" i="51"/>
  <c r="L96" i="51"/>
  <c r="K96" i="51"/>
  <c r="J96" i="51"/>
  <c r="J95" i="51"/>
  <c r="J94" i="51"/>
  <c r="I96" i="51"/>
  <c r="H96" i="51"/>
  <c r="M95" i="51"/>
  <c r="M94" i="51"/>
  <c r="L95" i="51"/>
  <c r="K95" i="51"/>
  <c r="I95" i="51"/>
  <c r="I94" i="51"/>
  <c r="H95" i="51"/>
  <c r="N93" i="51"/>
  <c r="M93" i="51"/>
  <c r="L93" i="51"/>
  <c r="L91" i="51"/>
  <c r="L92" i="51"/>
  <c r="L90" i="51"/>
  <c r="K93" i="51"/>
  <c r="J93" i="51"/>
  <c r="I93" i="51"/>
  <c r="H93" i="51"/>
  <c r="H91" i="51"/>
  <c r="H92" i="51"/>
  <c r="H90" i="51"/>
  <c r="N92" i="51"/>
  <c r="M92" i="51"/>
  <c r="K92" i="51"/>
  <c r="K91" i="51"/>
  <c r="K90" i="51"/>
  <c r="J92" i="51"/>
  <c r="I92" i="51"/>
  <c r="O92" i="51"/>
  <c r="N91" i="51"/>
  <c r="N90" i="51"/>
  <c r="M91" i="51"/>
  <c r="M90" i="51"/>
  <c r="J91" i="51"/>
  <c r="J90" i="51"/>
  <c r="I91" i="51"/>
  <c r="N89" i="51"/>
  <c r="M89" i="51"/>
  <c r="M87" i="51"/>
  <c r="M88" i="51"/>
  <c r="M86" i="51"/>
  <c r="L89" i="51"/>
  <c r="K89" i="51"/>
  <c r="J89" i="51"/>
  <c r="I89" i="51"/>
  <c r="O89" i="51"/>
  <c r="H89" i="51"/>
  <c r="N88" i="51"/>
  <c r="L88" i="51"/>
  <c r="L87" i="51"/>
  <c r="L86" i="51"/>
  <c r="K88" i="51"/>
  <c r="J88" i="51"/>
  <c r="I88" i="51"/>
  <c r="H88" i="51"/>
  <c r="O88" i="51"/>
  <c r="N87" i="51"/>
  <c r="K87" i="51"/>
  <c r="K86" i="51"/>
  <c r="J87" i="51"/>
  <c r="J86" i="51"/>
  <c r="I87" i="51"/>
  <c r="H87" i="51"/>
  <c r="N85" i="51"/>
  <c r="M85" i="51"/>
  <c r="L85" i="51"/>
  <c r="K85" i="51"/>
  <c r="J85" i="51"/>
  <c r="I85" i="51"/>
  <c r="H85" i="51"/>
  <c r="N84" i="51"/>
  <c r="M84" i="51"/>
  <c r="L84" i="51"/>
  <c r="K84" i="51"/>
  <c r="J84" i="51"/>
  <c r="I84" i="51"/>
  <c r="O84" i="51"/>
  <c r="H84" i="51"/>
  <c r="N83" i="51"/>
  <c r="M83" i="51"/>
  <c r="L83" i="51"/>
  <c r="L81" i="51"/>
  <c r="L82" i="51"/>
  <c r="L80" i="51"/>
  <c r="K83" i="51"/>
  <c r="J83" i="51"/>
  <c r="I83" i="51"/>
  <c r="H83" i="51"/>
  <c r="O83" i="51"/>
  <c r="N82" i="51"/>
  <c r="M82" i="51"/>
  <c r="K82" i="51"/>
  <c r="J82" i="51"/>
  <c r="H82" i="51"/>
  <c r="I82" i="51"/>
  <c r="O82" i="51"/>
  <c r="N81" i="51"/>
  <c r="N80" i="51"/>
  <c r="M81" i="51"/>
  <c r="K81" i="51"/>
  <c r="J81" i="51"/>
  <c r="J80" i="51"/>
  <c r="I81" i="51"/>
  <c r="H81" i="51"/>
  <c r="N79" i="51"/>
  <c r="N78" i="51"/>
  <c r="N77" i="51"/>
  <c r="M79" i="51"/>
  <c r="M78" i="51"/>
  <c r="M77" i="51"/>
  <c r="L79" i="51"/>
  <c r="K79" i="51"/>
  <c r="J79" i="51"/>
  <c r="I79" i="51"/>
  <c r="I78" i="51"/>
  <c r="I77" i="51"/>
  <c r="H79" i="51"/>
  <c r="O79" i="51"/>
  <c r="L78" i="51"/>
  <c r="L77" i="51"/>
  <c r="K78" i="51"/>
  <c r="K77" i="51"/>
  <c r="J78" i="51"/>
  <c r="H78" i="51"/>
  <c r="N76" i="51"/>
  <c r="M76" i="51"/>
  <c r="L76" i="51"/>
  <c r="K76" i="51"/>
  <c r="J76" i="51"/>
  <c r="I76" i="51"/>
  <c r="H76" i="51"/>
  <c r="N75" i="51"/>
  <c r="M75" i="51"/>
  <c r="L75" i="51"/>
  <c r="K75" i="51"/>
  <c r="J75" i="51"/>
  <c r="I75" i="51"/>
  <c r="H75" i="51"/>
  <c r="N74" i="51"/>
  <c r="M74" i="51"/>
  <c r="M72" i="51"/>
  <c r="M73" i="51"/>
  <c r="M71" i="51"/>
  <c r="L74" i="51"/>
  <c r="K74" i="51"/>
  <c r="J74" i="51"/>
  <c r="I74" i="51"/>
  <c r="I72" i="51"/>
  <c r="I73" i="51"/>
  <c r="I71" i="51"/>
  <c r="H74" i="51"/>
  <c r="N73" i="51"/>
  <c r="L73" i="51"/>
  <c r="K73" i="51"/>
  <c r="J73" i="51"/>
  <c r="H73" i="51"/>
  <c r="O73" i="51"/>
  <c r="N72" i="51"/>
  <c r="L72" i="51"/>
  <c r="K72" i="51"/>
  <c r="K71" i="51"/>
  <c r="J72" i="51"/>
  <c r="H72" i="51"/>
  <c r="N69" i="51"/>
  <c r="M69" i="51"/>
  <c r="L69" i="51"/>
  <c r="K69" i="51"/>
  <c r="J69" i="51"/>
  <c r="I69" i="51"/>
  <c r="O69" i="51"/>
  <c r="H69" i="51"/>
  <c r="N68" i="51"/>
  <c r="M68" i="51"/>
  <c r="L68" i="51"/>
  <c r="K68" i="51"/>
  <c r="J68" i="51"/>
  <c r="I68" i="51"/>
  <c r="O68" i="51"/>
  <c r="H68" i="51"/>
  <c r="N67" i="51"/>
  <c r="M67" i="51"/>
  <c r="L67" i="51"/>
  <c r="K67" i="51"/>
  <c r="J67" i="51"/>
  <c r="I67" i="51"/>
  <c r="O67" i="51"/>
  <c r="H67" i="51"/>
  <c r="N66" i="51"/>
  <c r="M66" i="51"/>
  <c r="L66" i="51"/>
  <c r="K66" i="51"/>
  <c r="K64" i="51"/>
  <c r="K65" i="51"/>
  <c r="K63" i="51"/>
  <c r="J66" i="51"/>
  <c r="H66" i="51"/>
  <c r="I66" i="51"/>
  <c r="O66" i="51"/>
  <c r="N65" i="51"/>
  <c r="N64" i="51"/>
  <c r="N63" i="51"/>
  <c r="M65" i="51"/>
  <c r="L65" i="51"/>
  <c r="J65" i="51"/>
  <c r="J64" i="51"/>
  <c r="J63" i="51"/>
  <c r="I65" i="51"/>
  <c r="H65" i="51"/>
  <c r="M64" i="51"/>
  <c r="M63" i="51"/>
  <c r="L64" i="51"/>
  <c r="I64" i="51"/>
  <c r="H64" i="51"/>
  <c r="O64" i="51"/>
  <c r="N62" i="51"/>
  <c r="M62" i="51"/>
  <c r="L62" i="51"/>
  <c r="K62" i="51"/>
  <c r="J62" i="51"/>
  <c r="I62" i="51"/>
  <c r="H62" i="51"/>
  <c r="N61" i="51"/>
  <c r="M61" i="51"/>
  <c r="L61" i="51"/>
  <c r="K61" i="51"/>
  <c r="J61" i="51"/>
  <c r="I61" i="51"/>
  <c r="O61" i="51"/>
  <c r="H61" i="51"/>
  <c r="N60" i="51"/>
  <c r="M60" i="51"/>
  <c r="L60" i="51"/>
  <c r="K60" i="51"/>
  <c r="J60" i="51"/>
  <c r="I60" i="51"/>
  <c r="H60" i="51"/>
  <c r="N59" i="51"/>
  <c r="M59" i="51"/>
  <c r="L59" i="51"/>
  <c r="K59" i="51"/>
  <c r="J59" i="51"/>
  <c r="I59" i="51"/>
  <c r="I57" i="51"/>
  <c r="I58" i="51"/>
  <c r="I56" i="51"/>
  <c r="H59" i="51"/>
  <c r="N58" i="51"/>
  <c r="M58" i="51"/>
  <c r="M57" i="51"/>
  <c r="M56" i="51"/>
  <c r="L58" i="51"/>
  <c r="L57" i="51"/>
  <c r="L56" i="51"/>
  <c r="K58" i="51"/>
  <c r="J58" i="51"/>
  <c r="H58" i="51"/>
  <c r="O58" i="51"/>
  <c r="N57" i="51"/>
  <c r="K57" i="51"/>
  <c r="K56" i="51"/>
  <c r="J57" i="51"/>
  <c r="H57" i="51"/>
  <c r="O57" i="51"/>
  <c r="N55" i="51"/>
  <c r="M55" i="51"/>
  <c r="L55" i="51"/>
  <c r="K55" i="51"/>
  <c r="J55" i="51"/>
  <c r="I55" i="51"/>
  <c r="H55" i="51"/>
  <c r="N54" i="51"/>
  <c r="M54" i="51"/>
  <c r="L54" i="51"/>
  <c r="K54" i="51"/>
  <c r="J54" i="51"/>
  <c r="I54" i="51"/>
  <c r="H54" i="51"/>
  <c r="N53" i="51"/>
  <c r="M53" i="51"/>
  <c r="L53" i="51"/>
  <c r="K53" i="51"/>
  <c r="J53" i="51"/>
  <c r="I53" i="51"/>
  <c r="H53" i="51"/>
  <c r="N52" i="51"/>
  <c r="M52" i="51"/>
  <c r="L52" i="51"/>
  <c r="K52" i="51"/>
  <c r="J52" i="51"/>
  <c r="I52" i="51"/>
  <c r="H52" i="51"/>
  <c r="N51" i="51"/>
  <c r="M51" i="51"/>
  <c r="L51" i="51"/>
  <c r="K51" i="51"/>
  <c r="J51" i="51"/>
  <c r="I51" i="51"/>
  <c r="H51" i="51"/>
  <c r="N50" i="51"/>
  <c r="M50" i="51"/>
  <c r="M48" i="51"/>
  <c r="M49" i="51"/>
  <c r="M47" i="51"/>
  <c r="L50" i="51"/>
  <c r="K50" i="51"/>
  <c r="J50" i="51"/>
  <c r="I50" i="51"/>
  <c r="I48" i="51"/>
  <c r="I49" i="51"/>
  <c r="I47" i="51"/>
  <c r="H50" i="51"/>
  <c r="N49" i="51"/>
  <c r="L49" i="51"/>
  <c r="L48" i="51"/>
  <c r="L47" i="51"/>
  <c r="K49" i="51"/>
  <c r="J49" i="51"/>
  <c r="H49" i="51"/>
  <c r="O49" i="51"/>
  <c r="N48" i="51"/>
  <c r="K48" i="51"/>
  <c r="K47" i="51"/>
  <c r="J48" i="51"/>
  <c r="H48" i="51"/>
  <c r="N46" i="51"/>
  <c r="N45" i="51"/>
  <c r="M46" i="51"/>
  <c r="M45" i="51"/>
  <c r="L46" i="51"/>
  <c r="K46" i="51"/>
  <c r="J46" i="51"/>
  <c r="J45" i="51"/>
  <c r="I46" i="51"/>
  <c r="I45" i="51"/>
  <c r="H46" i="51"/>
  <c r="N44" i="51"/>
  <c r="M44" i="51"/>
  <c r="L44" i="51"/>
  <c r="K44" i="51"/>
  <c r="J44" i="51"/>
  <c r="I44" i="51"/>
  <c r="H44" i="51"/>
  <c r="O44" i="51"/>
  <c r="N43" i="51"/>
  <c r="M43" i="51"/>
  <c r="L43" i="51"/>
  <c r="K43" i="51"/>
  <c r="J43" i="51"/>
  <c r="I43" i="51"/>
  <c r="H43" i="51"/>
  <c r="O43" i="51"/>
  <c r="N42" i="51"/>
  <c r="M42" i="51"/>
  <c r="L42" i="51"/>
  <c r="K42" i="51"/>
  <c r="J42" i="51"/>
  <c r="H42" i="51"/>
  <c r="I42" i="51"/>
  <c r="O42" i="51"/>
  <c r="N41" i="51"/>
  <c r="M41" i="51"/>
  <c r="L41" i="51"/>
  <c r="K41" i="51"/>
  <c r="J41" i="51"/>
  <c r="I41" i="51"/>
  <c r="H41" i="51"/>
  <c r="N40" i="51"/>
  <c r="M40" i="51"/>
  <c r="M38" i="51"/>
  <c r="M39" i="51"/>
  <c r="M37" i="51"/>
  <c r="L40" i="51"/>
  <c r="K40" i="51"/>
  <c r="J40" i="51"/>
  <c r="I40" i="51"/>
  <c r="H40" i="51"/>
  <c r="O40" i="51"/>
  <c r="N39" i="51"/>
  <c r="L39" i="51"/>
  <c r="L38" i="51"/>
  <c r="L37" i="51"/>
  <c r="K39" i="51"/>
  <c r="J39" i="51"/>
  <c r="I39" i="51"/>
  <c r="H39" i="51"/>
  <c r="O39" i="51"/>
  <c r="N38" i="51"/>
  <c r="K38" i="51"/>
  <c r="K37" i="51"/>
  <c r="J38" i="51"/>
  <c r="H38" i="51"/>
  <c r="I38" i="51"/>
  <c r="O38" i="51"/>
  <c r="N35" i="51"/>
  <c r="M35" i="51"/>
  <c r="L35" i="51"/>
  <c r="K35" i="51"/>
  <c r="J35" i="51"/>
  <c r="I35" i="51"/>
  <c r="H35" i="51"/>
  <c r="N34" i="51"/>
  <c r="M34" i="51"/>
  <c r="L34" i="51"/>
  <c r="K34" i="51"/>
  <c r="J34" i="51"/>
  <c r="I34" i="51"/>
  <c r="H34" i="51"/>
  <c r="N33" i="51"/>
  <c r="M33" i="51"/>
  <c r="L33" i="51"/>
  <c r="L32" i="51"/>
  <c r="K33" i="51"/>
  <c r="K32" i="51"/>
  <c r="J33" i="51"/>
  <c r="I33" i="51"/>
  <c r="H33" i="51"/>
  <c r="H32" i="51"/>
  <c r="N31" i="51"/>
  <c r="M31" i="51"/>
  <c r="L31" i="51"/>
  <c r="L30" i="51"/>
  <c r="L29" i="51"/>
  <c r="L28" i="51"/>
  <c r="L26" i="51"/>
  <c r="K31" i="51"/>
  <c r="K30" i="51"/>
  <c r="K29" i="51"/>
  <c r="K28" i="51"/>
  <c r="K26" i="51"/>
  <c r="J31" i="51"/>
  <c r="I31" i="51"/>
  <c r="H31" i="51"/>
  <c r="N30" i="51"/>
  <c r="N29" i="51"/>
  <c r="M30" i="51"/>
  <c r="M29" i="51"/>
  <c r="J30" i="51"/>
  <c r="J29" i="51"/>
  <c r="I30" i="51"/>
  <c r="I29" i="51"/>
  <c r="H30" i="51"/>
  <c r="N25" i="51"/>
  <c r="M25" i="51"/>
  <c r="L25" i="51"/>
  <c r="K25" i="51"/>
  <c r="J25" i="51"/>
  <c r="I25" i="51"/>
  <c r="H25" i="51"/>
  <c r="N24" i="51"/>
  <c r="M24" i="51"/>
  <c r="L24" i="51"/>
  <c r="K24" i="51"/>
  <c r="J24" i="51"/>
  <c r="I24" i="51"/>
  <c r="H24" i="51"/>
  <c r="O24" i="51"/>
  <c r="N23" i="51"/>
  <c r="M23" i="51"/>
  <c r="L23" i="51"/>
  <c r="K23" i="51"/>
  <c r="J23" i="51"/>
  <c r="I23" i="51"/>
  <c r="H23" i="51"/>
  <c r="N22" i="51"/>
  <c r="M22" i="51"/>
  <c r="L22" i="51"/>
  <c r="K22" i="51"/>
  <c r="J22" i="51"/>
  <c r="I22" i="51"/>
  <c r="H22" i="51"/>
  <c r="N21" i="51"/>
  <c r="M21" i="51"/>
  <c r="L21" i="51"/>
  <c r="K21" i="51"/>
  <c r="J21" i="51"/>
  <c r="I21" i="51"/>
  <c r="H21" i="51"/>
  <c r="N20" i="51"/>
  <c r="M20" i="51"/>
  <c r="L20" i="51"/>
  <c r="L18" i="51"/>
  <c r="L19" i="51"/>
  <c r="L17" i="51"/>
  <c r="K20" i="51"/>
  <c r="J20" i="51"/>
  <c r="I20" i="51"/>
  <c r="H20" i="51"/>
  <c r="H18" i="51"/>
  <c r="H19" i="51"/>
  <c r="H17" i="51"/>
  <c r="N19" i="51"/>
  <c r="M19" i="51"/>
  <c r="K19" i="51"/>
  <c r="K18" i="51"/>
  <c r="K17" i="51"/>
  <c r="J19" i="51"/>
  <c r="I19" i="51"/>
  <c r="O19" i="51"/>
  <c r="N18" i="51"/>
  <c r="N17" i="51"/>
  <c r="M18" i="51"/>
  <c r="J18" i="51"/>
  <c r="J17" i="51"/>
  <c r="I18" i="51"/>
  <c r="N14" i="51"/>
  <c r="M14" i="51"/>
  <c r="L14" i="51"/>
  <c r="K14" i="51"/>
  <c r="J14" i="51"/>
  <c r="I14" i="51"/>
  <c r="O14" i="51"/>
  <c r="H14" i="51"/>
  <c r="N13" i="51"/>
  <c r="M13" i="51"/>
  <c r="L13" i="51"/>
  <c r="K13" i="51"/>
  <c r="J13" i="51"/>
  <c r="I13" i="51"/>
  <c r="H13" i="51"/>
  <c r="N12" i="51"/>
  <c r="M12" i="51"/>
  <c r="L12" i="51"/>
  <c r="K12" i="51"/>
  <c r="K10" i="51"/>
  <c r="K11" i="51"/>
  <c r="K9" i="51"/>
  <c r="K8" i="51"/>
  <c r="K7" i="51"/>
  <c r="J12" i="51"/>
  <c r="I12" i="51"/>
  <c r="H12" i="51"/>
  <c r="N11" i="51"/>
  <c r="M11" i="51"/>
  <c r="L11" i="51"/>
  <c r="J11" i="51"/>
  <c r="I11" i="51"/>
  <c r="H11" i="51"/>
  <c r="N10" i="51"/>
  <c r="N9" i="51"/>
  <c r="N8" i="51"/>
  <c r="M10" i="51"/>
  <c r="M9" i="51"/>
  <c r="M8" i="51"/>
  <c r="L10" i="51"/>
  <c r="J10" i="51"/>
  <c r="I10" i="51"/>
  <c r="I9" i="51"/>
  <c r="I8" i="51"/>
  <c r="H10" i="51"/>
  <c r="K188" i="51"/>
  <c r="O187" i="51"/>
  <c r="O184" i="51"/>
  <c r="O182" i="51"/>
  <c r="O180" i="51"/>
  <c r="O179" i="51"/>
  <c r="O176" i="51"/>
  <c r="J169" i="51"/>
  <c r="O174" i="51"/>
  <c r="O165" i="51"/>
  <c r="O164" i="51"/>
  <c r="O163" i="51"/>
  <c r="O162" i="51"/>
  <c r="O161" i="51"/>
  <c r="I160" i="51"/>
  <c r="O160" i="51"/>
  <c r="O159" i="51"/>
  <c r="I158" i="51"/>
  <c r="O157" i="51"/>
  <c r="O156" i="51"/>
  <c r="N155" i="51"/>
  <c r="M155" i="51"/>
  <c r="L155" i="51"/>
  <c r="K155" i="51"/>
  <c r="J155" i="51"/>
  <c r="H155" i="51"/>
  <c r="N154" i="51"/>
  <c r="M154" i="51"/>
  <c r="L154" i="51"/>
  <c r="K154" i="51"/>
  <c r="J154" i="51"/>
  <c r="H154" i="51"/>
  <c r="L150" i="51"/>
  <c r="H150" i="51"/>
  <c r="K145" i="51"/>
  <c r="O140" i="51"/>
  <c r="O139" i="51"/>
  <c r="I126" i="51"/>
  <c r="I125" i="51"/>
  <c r="N119" i="51"/>
  <c r="M116" i="51"/>
  <c r="L116" i="51"/>
  <c r="I116" i="51"/>
  <c r="H114" i="51"/>
  <c r="O112" i="51"/>
  <c r="H108" i="51"/>
  <c r="H107" i="51"/>
  <c r="M103" i="51"/>
  <c r="L103" i="51"/>
  <c r="I103" i="51"/>
  <c r="H103" i="51"/>
  <c r="O87" i="51"/>
  <c r="N86" i="51"/>
  <c r="J77" i="51"/>
  <c r="O76" i="51"/>
  <c r="H63" i="51"/>
  <c r="O62" i="51"/>
  <c r="O53" i="51"/>
  <c r="L45" i="51"/>
  <c r="K45" i="51"/>
  <c r="H45" i="51"/>
  <c r="O33" i="51"/>
  <c r="H29" i="51"/>
  <c r="O13" i="51"/>
  <c r="O12" i="51"/>
  <c r="N220" i="50"/>
  <c r="M220" i="50"/>
  <c r="L220" i="50"/>
  <c r="K220" i="50"/>
  <c r="J220" i="50"/>
  <c r="I220" i="50"/>
  <c r="H220" i="50"/>
  <c r="O220" i="50"/>
  <c r="N218" i="50"/>
  <c r="M218" i="50"/>
  <c r="L218" i="50"/>
  <c r="K218" i="50"/>
  <c r="J218" i="50"/>
  <c r="I218" i="50"/>
  <c r="H218" i="50"/>
  <c r="N215" i="50"/>
  <c r="M215" i="50"/>
  <c r="L215" i="50"/>
  <c r="K215" i="50"/>
  <c r="J215" i="50"/>
  <c r="I215" i="50"/>
  <c r="H215" i="50"/>
  <c r="N213" i="50"/>
  <c r="M213" i="50"/>
  <c r="L213" i="50"/>
  <c r="K213" i="50"/>
  <c r="J213" i="50"/>
  <c r="I213" i="50"/>
  <c r="H213" i="50"/>
  <c r="N209" i="50"/>
  <c r="M209" i="50"/>
  <c r="L209" i="50"/>
  <c r="L207" i="50"/>
  <c r="L204" i="50"/>
  <c r="K209" i="50"/>
  <c r="J209" i="50"/>
  <c r="I209" i="50"/>
  <c r="H209" i="50"/>
  <c r="O209" i="50"/>
  <c r="N207" i="50"/>
  <c r="M207" i="50"/>
  <c r="K207" i="50"/>
  <c r="J207" i="50"/>
  <c r="I207" i="50"/>
  <c r="H207" i="50"/>
  <c r="N203" i="50"/>
  <c r="M203" i="50"/>
  <c r="L203" i="50"/>
  <c r="K203" i="50"/>
  <c r="J203" i="50"/>
  <c r="I203" i="50"/>
  <c r="H203" i="50"/>
  <c r="N201" i="50"/>
  <c r="M201" i="50"/>
  <c r="L201" i="50"/>
  <c r="K201" i="50"/>
  <c r="J201" i="50"/>
  <c r="I201" i="50"/>
  <c r="H201" i="50"/>
  <c r="N198" i="50"/>
  <c r="M198" i="50"/>
  <c r="L198" i="50"/>
  <c r="K198" i="50"/>
  <c r="J198" i="50"/>
  <c r="I198" i="50"/>
  <c r="H198" i="50"/>
  <c r="N196" i="50"/>
  <c r="M196" i="50"/>
  <c r="L196" i="50"/>
  <c r="K196" i="50"/>
  <c r="J196" i="50"/>
  <c r="I196" i="50"/>
  <c r="H196" i="50"/>
  <c r="O196" i="50"/>
  <c r="N193" i="50"/>
  <c r="M193" i="50"/>
  <c r="L193" i="50"/>
  <c r="K193" i="50"/>
  <c r="J193" i="50"/>
  <c r="I193" i="50"/>
  <c r="H193" i="50"/>
  <c r="N191" i="50"/>
  <c r="M191" i="50"/>
  <c r="M188" i="50"/>
  <c r="L191" i="50"/>
  <c r="K191" i="50"/>
  <c r="J191" i="50"/>
  <c r="I191" i="50"/>
  <c r="H191" i="50"/>
  <c r="N186" i="50"/>
  <c r="M186" i="50"/>
  <c r="L186" i="50"/>
  <c r="K186" i="50"/>
  <c r="J186" i="50"/>
  <c r="I186" i="50"/>
  <c r="H186" i="50"/>
  <c r="N185" i="50"/>
  <c r="M185" i="50"/>
  <c r="L185" i="50"/>
  <c r="K185" i="50"/>
  <c r="J185" i="50"/>
  <c r="I185" i="50"/>
  <c r="H185" i="50"/>
  <c r="O185" i="50"/>
  <c r="N183" i="50"/>
  <c r="M183" i="50"/>
  <c r="L183" i="50"/>
  <c r="K183" i="50"/>
  <c r="J183" i="50"/>
  <c r="I183" i="50"/>
  <c r="H183" i="50"/>
  <c r="N181" i="50"/>
  <c r="M181" i="50"/>
  <c r="L181" i="50"/>
  <c r="K181" i="50"/>
  <c r="J181" i="50"/>
  <c r="I181" i="50"/>
  <c r="H181" i="50"/>
  <c r="O181" i="50"/>
  <c r="N178" i="50"/>
  <c r="M178" i="50"/>
  <c r="L178" i="50"/>
  <c r="K178" i="50"/>
  <c r="J178" i="50"/>
  <c r="I178" i="50"/>
  <c r="H178" i="50"/>
  <c r="N177" i="50"/>
  <c r="M177" i="50"/>
  <c r="L177" i="50"/>
  <c r="K177" i="50"/>
  <c r="J177" i="50"/>
  <c r="I177" i="50"/>
  <c r="H177" i="50"/>
  <c r="N175" i="50"/>
  <c r="M175" i="50"/>
  <c r="L175" i="50"/>
  <c r="K175" i="50"/>
  <c r="J175" i="50"/>
  <c r="I175" i="50"/>
  <c r="H175" i="50"/>
  <c r="N173" i="50"/>
  <c r="M173" i="50"/>
  <c r="M171" i="50"/>
  <c r="M172" i="50"/>
  <c r="M169" i="50"/>
  <c r="L173" i="50"/>
  <c r="K173" i="50"/>
  <c r="J173" i="50"/>
  <c r="I173" i="50"/>
  <c r="H173" i="50"/>
  <c r="O173" i="50"/>
  <c r="N172" i="50"/>
  <c r="L172" i="50"/>
  <c r="K172" i="50"/>
  <c r="J172" i="50"/>
  <c r="I172" i="50"/>
  <c r="H172" i="50"/>
  <c r="N171" i="50"/>
  <c r="L171" i="50"/>
  <c r="K171" i="50"/>
  <c r="K169" i="50"/>
  <c r="J171" i="50"/>
  <c r="I171" i="50"/>
  <c r="H171" i="50"/>
  <c r="O171" i="50"/>
  <c r="N152" i="50"/>
  <c r="N151" i="50"/>
  <c r="N150" i="50"/>
  <c r="M152" i="50"/>
  <c r="L152" i="50"/>
  <c r="L151" i="50"/>
  <c r="L150" i="50"/>
  <c r="K152" i="50"/>
  <c r="J152" i="50"/>
  <c r="I152" i="50"/>
  <c r="H152" i="50"/>
  <c r="M151" i="50"/>
  <c r="M150" i="50"/>
  <c r="K151" i="50"/>
  <c r="J151" i="50"/>
  <c r="I151" i="50"/>
  <c r="I150" i="50"/>
  <c r="H151" i="50"/>
  <c r="M145" i="50"/>
  <c r="I145" i="50"/>
  <c r="L145" i="50"/>
  <c r="K145" i="50"/>
  <c r="N144" i="50"/>
  <c r="M144" i="50"/>
  <c r="L144" i="50"/>
  <c r="K144" i="50"/>
  <c r="J144" i="50"/>
  <c r="I144" i="50"/>
  <c r="O144" i="50"/>
  <c r="H144" i="50"/>
  <c r="N143" i="50"/>
  <c r="M143" i="50"/>
  <c r="L143" i="50"/>
  <c r="K143" i="50"/>
  <c r="J143" i="50"/>
  <c r="I143" i="50"/>
  <c r="H143" i="50"/>
  <c r="O143" i="50"/>
  <c r="N142" i="50"/>
  <c r="M142" i="50"/>
  <c r="L142" i="50"/>
  <c r="K142" i="50"/>
  <c r="J142" i="50"/>
  <c r="I142" i="50"/>
  <c r="H142" i="50"/>
  <c r="N141" i="50"/>
  <c r="M141" i="50"/>
  <c r="L141" i="50"/>
  <c r="K141" i="50"/>
  <c r="J141" i="50"/>
  <c r="I141" i="50"/>
  <c r="H141" i="50"/>
  <c r="N140" i="50"/>
  <c r="M140" i="50"/>
  <c r="L140" i="50"/>
  <c r="L139" i="50"/>
  <c r="L138" i="50"/>
  <c r="K140" i="50"/>
  <c r="J140" i="50"/>
  <c r="I140" i="50"/>
  <c r="O140" i="50"/>
  <c r="H140" i="50"/>
  <c r="N139" i="50"/>
  <c r="M139" i="50"/>
  <c r="K139" i="50"/>
  <c r="J139" i="50"/>
  <c r="I139" i="50"/>
  <c r="H139" i="50"/>
  <c r="N137" i="50"/>
  <c r="M137" i="50"/>
  <c r="L137" i="50"/>
  <c r="K137" i="50"/>
  <c r="J137" i="50"/>
  <c r="I137" i="50"/>
  <c r="H137" i="50"/>
  <c r="N136" i="50"/>
  <c r="M136" i="50"/>
  <c r="L136" i="50"/>
  <c r="K136" i="50"/>
  <c r="J136" i="50"/>
  <c r="I136" i="50"/>
  <c r="H136" i="50"/>
  <c r="N135" i="50"/>
  <c r="M135" i="50"/>
  <c r="L135" i="50"/>
  <c r="K135" i="50"/>
  <c r="J135" i="50"/>
  <c r="I135" i="50"/>
  <c r="H135" i="50"/>
  <c r="N134" i="50"/>
  <c r="M134" i="50"/>
  <c r="L134" i="50"/>
  <c r="K134" i="50"/>
  <c r="J134" i="50"/>
  <c r="I134" i="50"/>
  <c r="H134" i="50"/>
  <c r="N133" i="50"/>
  <c r="M133" i="50"/>
  <c r="L133" i="50"/>
  <c r="K133" i="50"/>
  <c r="J133" i="50"/>
  <c r="I133" i="50"/>
  <c r="O133" i="50"/>
  <c r="H133" i="50"/>
  <c r="N129" i="50"/>
  <c r="M129" i="50"/>
  <c r="L129" i="50"/>
  <c r="K129" i="50"/>
  <c r="J129" i="50"/>
  <c r="I129" i="50"/>
  <c r="H129" i="50"/>
  <c r="N128" i="50"/>
  <c r="M128" i="50"/>
  <c r="L128" i="50"/>
  <c r="L127" i="50"/>
  <c r="L126" i="50"/>
  <c r="L125" i="50"/>
  <c r="K128" i="50"/>
  <c r="J128" i="50"/>
  <c r="I128" i="50"/>
  <c r="H128" i="50"/>
  <c r="N127" i="50"/>
  <c r="M127" i="50"/>
  <c r="K127" i="50"/>
  <c r="J127" i="50"/>
  <c r="I127" i="50"/>
  <c r="H127" i="50"/>
  <c r="N121" i="50"/>
  <c r="N120" i="50"/>
  <c r="N119" i="50"/>
  <c r="M121" i="50"/>
  <c r="L121" i="50"/>
  <c r="K121" i="50"/>
  <c r="J119" i="50"/>
  <c r="H119" i="50"/>
  <c r="M120" i="50"/>
  <c r="L120" i="50"/>
  <c r="K120" i="50"/>
  <c r="K119" i="50"/>
  <c r="N117" i="50"/>
  <c r="N116" i="50"/>
  <c r="M117" i="50"/>
  <c r="L117" i="50"/>
  <c r="L116" i="50"/>
  <c r="K117" i="50"/>
  <c r="K116" i="50"/>
  <c r="J117" i="50"/>
  <c r="J116" i="50"/>
  <c r="I117" i="50"/>
  <c r="H117" i="50"/>
  <c r="N115" i="50"/>
  <c r="M115" i="50"/>
  <c r="M114" i="50"/>
  <c r="L115" i="50"/>
  <c r="K115" i="50"/>
  <c r="K114" i="50"/>
  <c r="J115" i="50"/>
  <c r="I115" i="50"/>
  <c r="I114" i="50"/>
  <c r="H115" i="50"/>
  <c r="N113" i="50"/>
  <c r="M113" i="50"/>
  <c r="L113" i="50"/>
  <c r="K113" i="50"/>
  <c r="J113" i="50"/>
  <c r="I113" i="50"/>
  <c r="O113" i="50"/>
  <c r="H113" i="50"/>
  <c r="N112" i="50"/>
  <c r="M112" i="50"/>
  <c r="L112" i="50"/>
  <c r="K112" i="50"/>
  <c r="J112" i="50"/>
  <c r="I112" i="50"/>
  <c r="O112" i="50"/>
  <c r="H112" i="50"/>
  <c r="N111" i="50"/>
  <c r="M111" i="50"/>
  <c r="L111" i="50"/>
  <c r="K111" i="50"/>
  <c r="J111" i="50"/>
  <c r="I111" i="50"/>
  <c r="H111" i="50"/>
  <c r="N110" i="50"/>
  <c r="M110" i="50"/>
  <c r="L110" i="50"/>
  <c r="K110" i="50"/>
  <c r="J110" i="50"/>
  <c r="I110" i="50"/>
  <c r="H110" i="50"/>
  <c r="N109" i="50"/>
  <c r="M109" i="50"/>
  <c r="L109" i="50"/>
  <c r="K109" i="50"/>
  <c r="J109" i="50"/>
  <c r="I109" i="50"/>
  <c r="H109" i="50"/>
  <c r="N104" i="50"/>
  <c r="N103" i="50"/>
  <c r="M104" i="50"/>
  <c r="L104" i="50"/>
  <c r="L103" i="50"/>
  <c r="K104" i="50"/>
  <c r="K103" i="50"/>
  <c r="J103" i="50"/>
  <c r="N100" i="50"/>
  <c r="M100" i="50"/>
  <c r="L100" i="50"/>
  <c r="K100" i="50"/>
  <c r="J100" i="50"/>
  <c r="I100" i="50"/>
  <c r="H100" i="50"/>
  <c r="N99" i="50"/>
  <c r="M99" i="50"/>
  <c r="L99" i="50"/>
  <c r="K99" i="50"/>
  <c r="J99" i="50"/>
  <c r="I99" i="50"/>
  <c r="H99" i="50"/>
  <c r="N98" i="50"/>
  <c r="M98" i="50"/>
  <c r="L98" i="50"/>
  <c r="K98" i="50"/>
  <c r="J98" i="50"/>
  <c r="I98" i="50"/>
  <c r="H98" i="50"/>
  <c r="N97" i="50"/>
  <c r="M97" i="50"/>
  <c r="L97" i="50"/>
  <c r="K97" i="50"/>
  <c r="J97" i="50"/>
  <c r="I97" i="50"/>
  <c r="H97" i="50"/>
  <c r="N96" i="50"/>
  <c r="M96" i="50"/>
  <c r="L96" i="50"/>
  <c r="K96" i="50"/>
  <c r="J96" i="50"/>
  <c r="I96" i="50"/>
  <c r="H96" i="50"/>
  <c r="N95" i="50"/>
  <c r="M95" i="50"/>
  <c r="L95" i="50"/>
  <c r="K95" i="50"/>
  <c r="J95" i="50"/>
  <c r="I95" i="50"/>
  <c r="H95" i="50"/>
  <c r="N93" i="50"/>
  <c r="M93" i="50"/>
  <c r="L93" i="50"/>
  <c r="K93" i="50"/>
  <c r="J93" i="50"/>
  <c r="I93" i="50"/>
  <c r="H93" i="50"/>
  <c r="O93" i="50"/>
  <c r="N92" i="50"/>
  <c r="M92" i="50"/>
  <c r="L92" i="50"/>
  <c r="K92" i="50"/>
  <c r="J92" i="50"/>
  <c r="J91" i="50"/>
  <c r="J90" i="50"/>
  <c r="I92" i="50"/>
  <c r="H92" i="50"/>
  <c r="N91" i="50"/>
  <c r="M91" i="50"/>
  <c r="L91" i="50"/>
  <c r="K91" i="50"/>
  <c r="I91" i="50"/>
  <c r="H91" i="50"/>
  <c r="N89" i="50"/>
  <c r="M89" i="50"/>
  <c r="L89" i="50"/>
  <c r="K89" i="50"/>
  <c r="J89" i="50"/>
  <c r="I89" i="50"/>
  <c r="O89" i="50"/>
  <c r="H89" i="50"/>
  <c r="N88" i="50"/>
  <c r="M88" i="50"/>
  <c r="L88" i="50"/>
  <c r="K88" i="50"/>
  <c r="J88" i="50"/>
  <c r="I88" i="50"/>
  <c r="I87" i="50"/>
  <c r="I86" i="50"/>
  <c r="H88" i="50"/>
  <c r="N87" i="50"/>
  <c r="M87" i="50"/>
  <c r="L87" i="50"/>
  <c r="K87" i="50"/>
  <c r="J87" i="50"/>
  <c r="H87" i="50"/>
  <c r="N85" i="50"/>
  <c r="M85" i="50"/>
  <c r="L85" i="50"/>
  <c r="K85" i="50"/>
  <c r="J85" i="50"/>
  <c r="I85" i="50"/>
  <c r="H85" i="50"/>
  <c r="N84" i="50"/>
  <c r="M84" i="50"/>
  <c r="L84" i="50"/>
  <c r="K84" i="50"/>
  <c r="J84" i="50"/>
  <c r="I84" i="50"/>
  <c r="O84" i="50"/>
  <c r="H84" i="50"/>
  <c r="N83" i="50"/>
  <c r="M83" i="50"/>
  <c r="L83" i="50"/>
  <c r="K83" i="50"/>
  <c r="J83" i="50"/>
  <c r="I83" i="50"/>
  <c r="H83" i="50"/>
  <c r="N82" i="50"/>
  <c r="M82" i="50"/>
  <c r="L82" i="50"/>
  <c r="K82" i="50"/>
  <c r="J82" i="50"/>
  <c r="J81" i="50"/>
  <c r="J80" i="50"/>
  <c r="I82" i="50"/>
  <c r="H82" i="50"/>
  <c r="N81" i="50"/>
  <c r="M81" i="50"/>
  <c r="L81" i="50"/>
  <c r="K81" i="50"/>
  <c r="I81" i="50"/>
  <c r="H81" i="50"/>
  <c r="N79" i="50"/>
  <c r="N78" i="50"/>
  <c r="N77" i="50"/>
  <c r="M79" i="50"/>
  <c r="L79" i="50"/>
  <c r="K79" i="50"/>
  <c r="J79" i="50"/>
  <c r="J78" i="50"/>
  <c r="J77" i="50"/>
  <c r="I79" i="50"/>
  <c r="H79" i="50"/>
  <c r="M78" i="50"/>
  <c r="L78" i="50"/>
  <c r="K78" i="50"/>
  <c r="K77" i="50"/>
  <c r="I78" i="50"/>
  <c r="H78" i="50"/>
  <c r="N76" i="50"/>
  <c r="M76" i="50"/>
  <c r="L76" i="50"/>
  <c r="K76" i="50"/>
  <c r="J76" i="50"/>
  <c r="I76" i="50"/>
  <c r="H76" i="50"/>
  <c r="N75" i="50"/>
  <c r="M75" i="50"/>
  <c r="M72" i="50"/>
  <c r="M73" i="50"/>
  <c r="M74" i="50"/>
  <c r="M71" i="50"/>
  <c r="L75" i="50"/>
  <c r="K75" i="50"/>
  <c r="J75" i="50"/>
  <c r="I75" i="50"/>
  <c r="I72" i="50"/>
  <c r="I73" i="50"/>
  <c r="I74" i="50"/>
  <c r="I71" i="50"/>
  <c r="H75" i="50"/>
  <c r="N74" i="50"/>
  <c r="L74" i="50"/>
  <c r="K74" i="50"/>
  <c r="J74" i="50"/>
  <c r="H74" i="50"/>
  <c r="N73" i="50"/>
  <c r="L73" i="50"/>
  <c r="K73" i="50"/>
  <c r="J73" i="50"/>
  <c r="H73" i="50"/>
  <c r="O73" i="50"/>
  <c r="N72" i="50"/>
  <c r="L72" i="50"/>
  <c r="K72" i="50"/>
  <c r="J72" i="50"/>
  <c r="H72" i="50"/>
  <c r="N69" i="50"/>
  <c r="M69" i="50"/>
  <c r="L69" i="50"/>
  <c r="K69" i="50"/>
  <c r="J69" i="50"/>
  <c r="I69" i="50"/>
  <c r="H69" i="50"/>
  <c r="N68" i="50"/>
  <c r="M68" i="50"/>
  <c r="L68" i="50"/>
  <c r="K68" i="50"/>
  <c r="J68" i="50"/>
  <c r="I68" i="50"/>
  <c r="O68" i="50"/>
  <c r="H68" i="50"/>
  <c r="N67" i="50"/>
  <c r="M67" i="50"/>
  <c r="L67" i="50"/>
  <c r="K67" i="50"/>
  <c r="J67" i="50"/>
  <c r="I67" i="50"/>
  <c r="O67" i="50"/>
  <c r="H67" i="50"/>
  <c r="N66" i="50"/>
  <c r="M66" i="50"/>
  <c r="L66" i="50"/>
  <c r="K66" i="50"/>
  <c r="J66" i="50"/>
  <c r="I66" i="50"/>
  <c r="H66" i="50"/>
  <c r="N65" i="50"/>
  <c r="M65" i="50"/>
  <c r="L65" i="50"/>
  <c r="K65" i="50"/>
  <c r="J65" i="50"/>
  <c r="I65" i="50"/>
  <c r="H65" i="50"/>
  <c r="N64" i="50"/>
  <c r="M64" i="50"/>
  <c r="L64" i="50"/>
  <c r="K64" i="50"/>
  <c r="J64" i="50"/>
  <c r="I64" i="50"/>
  <c r="H64" i="50"/>
  <c r="N62" i="50"/>
  <c r="M62" i="50"/>
  <c r="L62" i="50"/>
  <c r="K62" i="50"/>
  <c r="J62" i="50"/>
  <c r="I62" i="50"/>
  <c r="H62" i="50"/>
  <c r="N61" i="50"/>
  <c r="M61" i="50"/>
  <c r="L61" i="50"/>
  <c r="K61" i="50"/>
  <c r="J61" i="50"/>
  <c r="I61" i="50"/>
  <c r="H61" i="50"/>
  <c r="N60" i="50"/>
  <c r="M60" i="50"/>
  <c r="L60" i="50"/>
  <c r="K60" i="50"/>
  <c r="J60" i="50"/>
  <c r="I60" i="50"/>
  <c r="H60" i="50"/>
  <c r="N59" i="50"/>
  <c r="M59" i="50"/>
  <c r="L59" i="50"/>
  <c r="K59" i="50"/>
  <c r="J59" i="50"/>
  <c r="I59" i="50"/>
  <c r="H59" i="50"/>
  <c r="N58" i="50"/>
  <c r="M58" i="50"/>
  <c r="L58" i="50"/>
  <c r="K58" i="50"/>
  <c r="J58" i="50"/>
  <c r="I58" i="50"/>
  <c r="H58" i="50"/>
  <c r="N57" i="50"/>
  <c r="M57" i="50"/>
  <c r="L57" i="50"/>
  <c r="K57" i="50"/>
  <c r="J57" i="50"/>
  <c r="I57" i="50"/>
  <c r="H57" i="50"/>
  <c r="N55" i="50"/>
  <c r="M55" i="50"/>
  <c r="L55" i="50"/>
  <c r="K55" i="50"/>
  <c r="J55" i="50"/>
  <c r="I55" i="50"/>
  <c r="H55" i="50"/>
  <c r="N54" i="50"/>
  <c r="M54" i="50"/>
  <c r="L54" i="50"/>
  <c r="K54" i="50"/>
  <c r="J54" i="50"/>
  <c r="I54" i="50"/>
  <c r="H54" i="50"/>
  <c r="N53" i="50"/>
  <c r="M53" i="50"/>
  <c r="L53" i="50"/>
  <c r="K53" i="50"/>
  <c r="J53" i="50"/>
  <c r="I53" i="50"/>
  <c r="H53" i="50"/>
  <c r="N52" i="50"/>
  <c r="M52" i="50"/>
  <c r="L52" i="50"/>
  <c r="K52" i="50"/>
  <c r="J52" i="50"/>
  <c r="I52" i="50"/>
  <c r="H52" i="50"/>
  <c r="N51" i="50"/>
  <c r="M51" i="50"/>
  <c r="L51" i="50"/>
  <c r="K51" i="50"/>
  <c r="J51" i="50"/>
  <c r="I51" i="50"/>
  <c r="H51" i="50"/>
  <c r="N50" i="50"/>
  <c r="M50" i="50"/>
  <c r="L50" i="50"/>
  <c r="K50" i="50"/>
  <c r="J50" i="50"/>
  <c r="I50" i="50"/>
  <c r="H50" i="50"/>
  <c r="N49" i="50"/>
  <c r="M49" i="50"/>
  <c r="L49" i="50"/>
  <c r="K49" i="50"/>
  <c r="J49" i="50"/>
  <c r="I49" i="50"/>
  <c r="H49" i="50"/>
  <c r="N48" i="50"/>
  <c r="M48" i="50"/>
  <c r="L48" i="50"/>
  <c r="K48" i="50"/>
  <c r="J48" i="50"/>
  <c r="I48" i="50"/>
  <c r="H48" i="50"/>
  <c r="N46" i="50"/>
  <c r="N45" i="50"/>
  <c r="M46" i="50"/>
  <c r="M45" i="50"/>
  <c r="L46" i="50"/>
  <c r="K46" i="50"/>
  <c r="K45" i="50"/>
  <c r="J46" i="50"/>
  <c r="I46" i="50"/>
  <c r="I45" i="50"/>
  <c r="H46" i="50"/>
  <c r="N44" i="50"/>
  <c r="M44" i="50"/>
  <c r="L44" i="50"/>
  <c r="K44" i="50"/>
  <c r="J44" i="50"/>
  <c r="I44" i="50"/>
  <c r="H44" i="50"/>
  <c r="N43" i="50"/>
  <c r="M43" i="50"/>
  <c r="L43" i="50"/>
  <c r="K43" i="50"/>
  <c r="J43" i="50"/>
  <c r="I43" i="50"/>
  <c r="H43" i="50"/>
  <c r="O43" i="50"/>
  <c r="N42" i="50"/>
  <c r="M42" i="50"/>
  <c r="L42" i="50"/>
  <c r="K42" i="50"/>
  <c r="J42" i="50"/>
  <c r="I42" i="50"/>
  <c r="H42" i="50"/>
  <c r="N41" i="50"/>
  <c r="M41" i="50"/>
  <c r="M38" i="50"/>
  <c r="M39" i="50"/>
  <c r="M40" i="50"/>
  <c r="M37" i="50"/>
  <c r="L41" i="50"/>
  <c r="K41" i="50"/>
  <c r="J41" i="50"/>
  <c r="I41" i="50"/>
  <c r="H41" i="50"/>
  <c r="N40" i="50"/>
  <c r="L40" i="50"/>
  <c r="K40" i="50"/>
  <c r="J40" i="50"/>
  <c r="I40" i="50"/>
  <c r="H40" i="50"/>
  <c r="N39" i="50"/>
  <c r="L39" i="50"/>
  <c r="K39" i="50"/>
  <c r="J39" i="50"/>
  <c r="I39" i="50"/>
  <c r="H39" i="50"/>
  <c r="N38" i="50"/>
  <c r="L38" i="50"/>
  <c r="K38" i="50"/>
  <c r="J38" i="50"/>
  <c r="I38" i="50"/>
  <c r="H38" i="50"/>
  <c r="N34" i="50"/>
  <c r="M34" i="50"/>
  <c r="L34" i="50"/>
  <c r="K34" i="50"/>
  <c r="J34" i="50"/>
  <c r="I34" i="50"/>
  <c r="H34" i="50"/>
  <c r="O34" i="50"/>
  <c r="N33" i="50"/>
  <c r="M33" i="50"/>
  <c r="L33" i="50"/>
  <c r="L32" i="50"/>
  <c r="K33" i="50"/>
  <c r="J33" i="50"/>
  <c r="I33" i="50"/>
  <c r="H33" i="50"/>
  <c r="N31" i="50"/>
  <c r="M31" i="50"/>
  <c r="L31" i="50"/>
  <c r="L30" i="50"/>
  <c r="L29" i="50"/>
  <c r="K31" i="50"/>
  <c r="J31" i="50"/>
  <c r="I31" i="50"/>
  <c r="I30" i="50"/>
  <c r="I29" i="50"/>
  <c r="H31" i="50"/>
  <c r="O31" i="50"/>
  <c r="N30" i="50"/>
  <c r="N29" i="50"/>
  <c r="M30" i="50"/>
  <c r="K30" i="50"/>
  <c r="J30" i="50"/>
  <c r="H30" i="50"/>
  <c r="O30" i="50"/>
  <c r="N25" i="50"/>
  <c r="M25" i="50"/>
  <c r="L25" i="50"/>
  <c r="K25" i="50"/>
  <c r="J25" i="50"/>
  <c r="I25" i="50"/>
  <c r="H25" i="50"/>
  <c r="O25" i="50"/>
  <c r="N24" i="50"/>
  <c r="M24" i="50"/>
  <c r="L24" i="50"/>
  <c r="K24" i="50"/>
  <c r="J24" i="50"/>
  <c r="I24" i="50"/>
  <c r="H24" i="50"/>
  <c r="O24" i="50"/>
  <c r="N23" i="50"/>
  <c r="M23" i="50"/>
  <c r="L23" i="50"/>
  <c r="K23" i="50"/>
  <c r="J23" i="50"/>
  <c r="I23" i="50"/>
  <c r="H23" i="50"/>
  <c r="O23" i="50"/>
  <c r="N22" i="50"/>
  <c r="M22" i="50"/>
  <c r="L22" i="50"/>
  <c r="K22" i="50"/>
  <c r="J22" i="50"/>
  <c r="H22" i="50"/>
  <c r="I22" i="50"/>
  <c r="O22" i="50"/>
  <c r="N21" i="50"/>
  <c r="M21" i="50"/>
  <c r="L21" i="50"/>
  <c r="K21" i="50"/>
  <c r="J21" i="50"/>
  <c r="I21" i="50"/>
  <c r="H21" i="50"/>
  <c r="O21" i="50"/>
  <c r="N20" i="50"/>
  <c r="M20" i="50"/>
  <c r="L20" i="50"/>
  <c r="K20" i="50"/>
  <c r="J20" i="50"/>
  <c r="I20" i="50"/>
  <c r="H20" i="50"/>
  <c r="O20" i="50"/>
  <c r="N19" i="50"/>
  <c r="M19" i="50"/>
  <c r="L19" i="50"/>
  <c r="K19" i="50"/>
  <c r="J19" i="50"/>
  <c r="I19" i="50"/>
  <c r="H19" i="50"/>
  <c r="O19" i="50"/>
  <c r="N18" i="50"/>
  <c r="M18" i="50"/>
  <c r="L18" i="50"/>
  <c r="K18" i="50"/>
  <c r="J18" i="50"/>
  <c r="I18" i="50"/>
  <c r="H18" i="50"/>
  <c r="N14" i="50"/>
  <c r="M14" i="50"/>
  <c r="L14" i="50"/>
  <c r="K14" i="50"/>
  <c r="J14" i="50"/>
  <c r="I14" i="50"/>
  <c r="O14" i="50"/>
  <c r="H14" i="50"/>
  <c r="N13" i="50"/>
  <c r="M13" i="50"/>
  <c r="L13" i="50"/>
  <c r="K13" i="50"/>
  <c r="J13" i="50"/>
  <c r="I13" i="50"/>
  <c r="H13" i="50"/>
  <c r="O13" i="50"/>
  <c r="N12" i="50"/>
  <c r="M12" i="50"/>
  <c r="L12" i="50"/>
  <c r="K12" i="50"/>
  <c r="J12" i="50"/>
  <c r="I12" i="50"/>
  <c r="H12" i="50"/>
  <c r="N11" i="50"/>
  <c r="M11" i="50"/>
  <c r="L11" i="50"/>
  <c r="K11" i="50"/>
  <c r="J11" i="50"/>
  <c r="H11" i="50"/>
  <c r="I11" i="50"/>
  <c r="O11" i="50"/>
  <c r="N10" i="50"/>
  <c r="M10" i="50"/>
  <c r="M9" i="50"/>
  <c r="M8" i="50"/>
  <c r="L10" i="50"/>
  <c r="K10" i="50"/>
  <c r="J10" i="50"/>
  <c r="I10" i="50"/>
  <c r="H10" i="50"/>
  <c r="O10" i="50"/>
  <c r="I188" i="50"/>
  <c r="O187" i="50"/>
  <c r="O184" i="50"/>
  <c r="O182" i="50"/>
  <c r="O180" i="50"/>
  <c r="O179" i="50"/>
  <c r="O176" i="50"/>
  <c r="O174" i="50"/>
  <c r="O165" i="50"/>
  <c r="O164" i="50"/>
  <c r="O163" i="50"/>
  <c r="O162" i="50"/>
  <c r="O161" i="50"/>
  <c r="I160" i="50"/>
  <c r="O160" i="50"/>
  <c r="O159" i="50"/>
  <c r="I158" i="50"/>
  <c r="O158" i="50"/>
  <c r="O156" i="50"/>
  <c r="O157" i="50"/>
  <c r="O155" i="50"/>
  <c r="O154" i="50"/>
  <c r="I155" i="50"/>
  <c r="I154" i="50"/>
  <c r="N155" i="50"/>
  <c r="M155" i="50"/>
  <c r="L155" i="50"/>
  <c r="K155" i="50"/>
  <c r="J155" i="50"/>
  <c r="H155" i="50"/>
  <c r="N154" i="50"/>
  <c r="M154" i="50"/>
  <c r="L154" i="50"/>
  <c r="K154" i="50"/>
  <c r="J154" i="50"/>
  <c r="H154" i="50"/>
  <c r="N145" i="50"/>
  <c r="J145" i="50"/>
  <c r="O139" i="50"/>
  <c r="O134" i="50"/>
  <c r="O127" i="50"/>
  <c r="L119" i="50"/>
  <c r="M116" i="50"/>
  <c r="I116" i="50"/>
  <c r="N114" i="50"/>
  <c r="L114" i="50"/>
  <c r="J114" i="50"/>
  <c r="H114" i="50"/>
  <c r="M103" i="50"/>
  <c r="I103" i="50"/>
  <c r="O98" i="50"/>
  <c r="O88" i="50"/>
  <c r="L77" i="50"/>
  <c r="O62" i="50"/>
  <c r="O61" i="50"/>
  <c r="O58" i="50"/>
  <c r="O53" i="50"/>
  <c r="O49" i="50"/>
  <c r="I47" i="50"/>
  <c r="L45" i="50"/>
  <c r="J45" i="50"/>
  <c r="H45" i="50"/>
  <c r="O39" i="50"/>
  <c r="M29" i="50"/>
  <c r="N17" i="50"/>
  <c r="N220" i="49"/>
  <c r="M220" i="49"/>
  <c r="L220" i="49"/>
  <c r="K220" i="49"/>
  <c r="J220" i="49"/>
  <c r="I220" i="49"/>
  <c r="H220" i="49"/>
  <c r="O220" i="49"/>
  <c r="N218" i="49"/>
  <c r="M218" i="49"/>
  <c r="L218" i="49"/>
  <c r="K218" i="49"/>
  <c r="J218" i="49"/>
  <c r="I218" i="49"/>
  <c r="H218" i="49"/>
  <c r="O218" i="49"/>
  <c r="N215" i="49"/>
  <c r="M215" i="49"/>
  <c r="L215" i="49"/>
  <c r="K215" i="49"/>
  <c r="J215" i="49"/>
  <c r="I215" i="49"/>
  <c r="H215" i="49"/>
  <c r="N213" i="49"/>
  <c r="M213" i="49"/>
  <c r="L213" i="49"/>
  <c r="K213" i="49"/>
  <c r="J213" i="49"/>
  <c r="I213" i="49"/>
  <c r="H213" i="49"/>
  <c r="N209" i="49"/>
  <c r="M209" i="49"/>
  <c r="L209" i="49"/>
  <c r="L207" i="49"/>
  <c r="L204" i="49"/>
  <c r="K209" i="49"/>
  <c r="J209" i="49"/>
  <c r="I209" i="49"/>
  <c r="H209" i="49"/>
  <c r="O209" i="49"/>
  <c r="N207" i="49"/>
  <c r="M207" i="49"/>
  <c r="K207" i="49"/>
  <c r="J207" i="49"/>
  <c r="I207" i="49"/>
  <c r="H207" i="49"/>
  <c r="N203" i="49"/>
  <c r="M203" i="49"/>
  <c r="L203" i="49"/>
  <c r="K203" i="49"/>
  <c r="J203" i="49"/>
  <c r="I203" i="49"/>
  <c r="H203" i="49"/>
  <c r="N201" i="49"/>
  <c r="M201" i="49"/>
  <c r="L201" i="49"/>
  <c r="K201" i="49"/>
  <c r="J201" i="49"/>
  <c r="I201" i="49"/>
  <c r="H201" i="49"/>
  <c r="N198" i="49"/>
  <c r="M198" i="49"/>
  <c r="L198" i="49"/>
  <c r="K198" i="49"/>
  <c r="J198" i="49"/>
  <c r="I198" i="49"/>
  <c r="H198" i="49"/>
  <c r="N196" i="49"/>
  <c r="M196" i="49"/>
  <c r="L196" i="49"/>
  <c r="K196" i="49"/>
  <c r="J196" i="49"/>
  <c r="I196" i="49"/>
  <c r="H196" i="49"/>
  <c r="O196" i="49"/>
  <c r="N193" i="49"/>
  <c r="M193" i="49"/>
  <c r="L193" i="49"/>
  <c r="K193" i="49"/>
  <c r="J193" i="49"/>
  <c r="I193" i="49"/>
  <c r="H193" i="49"/>
  <c r="N191" i="49"/>
  <c r="M191" i="49"/>
  <c r="M188" i="49"/>
  <c r="L191" i="49"/>
  <c r="K191" i="49"/>
  <c r="J191" i="49"/>
  <c r="I191" i="49"/>
  <c r="I188" i="49"/>
  <c r="H191" i="49"/>
  <c r="N186" i="49"/>
  <c r="M186" i="49"/>
  <c r="L186" i="49"/>
  <c r="K186" i="49"/>
  <c r="J186" i="49"/>
  <c r="I186" i="49"/>
  <c r="H186" i="49"/>
  <c r="N185" i="49"/>
  <c r="M185" i="49"/>
  <c r="L185" i="49"/>
  <c r="K185" i="49"/>
  <c r="J185" i="49"/>
  <c r="I185" i="49"/>
  <c r="H185" i="49"/>
  <c r="N183" i="49"/>
  <c r="M183" i="49"/>
  <c r="L183" i="49"/>
  <c r="K183" i="49"/>
  <c r="J183" i="49"/>
  <c r="I183" i="49"/>
  <c r="H183" i="49"/>
  <c r="N181" i="49"/>
  <c r="M181" i="49"/>
  <c r="L181" i="49"/>
  <c r="K181" i="49"/>
  <c r="J181" i="49"/>
  <c r="I181" i="49"/>
  <c r="H181" i="49"/>
  <c r="N178" i="49"/>
  <c r="M178" i="49"/>
  <c r="L178" i="49"/>
  <c r="K178" i="49"/>
  <c r="J178" i="49"/>
  <c r="I178" i="49"/>
  <c r="H178" i="49"/>
  <c r="N177" i="49"/>
  <c r="M177" i="49"/>
  <c r="L177" i="49"/>
  <c r="K177" i="49"/>
  <c r="J177" i="49"/>
  <c r="I177" i="49"/>
  <c r="H177" i="49"/>
  <c r="N175" i="49"/>
  <c r="M175" i="49"/>
  <c r="L175" i="49"/>
  <c r="K175" i="49"/>
  <c r="J175" i="49"/>
  <c r="I175" i="49"/>
  <c r="H175" i="49"/>
  <c r="N173" i="49"/>
  <c r="M173" i="49"/>
  <c r="L173" i="49"/>
  <c r="K173" i="49"/>
  <c r="J173" i="49"/>
  <c r="I173" i="49"/>
  <c r="H173" i="49"/>
  <c r="O173" i="49"/>
  <c r="N172" i="49"/>
  <c r="M172" i="49"/>
  <c r="L172" i="49"/>
  <c r="L171" i="49"/>
  <c r="L169" i="49"/>
  <c r="K172" i="49"/>
  <c r="J172" i="49"/>
  <c r="I172" i="49"/>
  <c r="H172" i="49"/>
  <c r="N171" i="49"/>
  <c r="M171" i="49"/>
  <c r="K171" i="49"/>
  <c r="J171" i="49"/>
  <c r="I171" i="49"/>
  <c r="H171" i="49"/>
  <c r="N152" i="49"/>
  <c r="M152" i="49"/>
  <c r="L152" i="49"/>
  <c r="L151" i="49"/>
  <c r="L150" i="49"/>
  <c r="K152" i="49"/>
  <c r="J152" i="49"/>
  <c r="H152" i="49"/>
  <c r="I152" i="49"/>
  <c r="O152" i="49"/>
  <c r="H151" i="49"/>
  <c r="H150" i="49"/>
  <c r="N151" i="49"/>
  <c r="M151" i="49"/>
  <c r="M150" i="49"/>
  <c r="K151" i="49"/>
  <c r="K150" i="49"/>
  <c r="J151" i="49"/>
  <c r="I151" i="49"/>
  <c r="I150" i="49"/>
  <c r="L145" i="49"/>
  <c r="H145" i="49"/>
  <c r="N145" i="49"/>
  <c r="K145" i="49"/>
  <c r="J145" i="49"/>
  <c r="N144" i="49"/>
  <c r="M144" i="49"/>
  <c r="L144" i="49"/>
  <c r="K144" i="49"/>
  <c r="J144" i="49"/>
  <c r="I144" i="49"/>
  <c r="O144" i="49"/>
  <c r="H144" i="49"/>
  <c r="N143" i="49"/>
  <c r="M143" i="49"/>
  <c r="L143" i="49"/>
  <c r="K143" i="49"/>
  <c r="J143" i="49"/>
  <c r="I143" i="49"/>
  <c r="H143" i="49"/>
  <c r="O143" i="49"/>
  <c r="N142" i="49"/>
  <c r="M142" i="49"/>
  <c r="L142" i="49"/>
  <c r="K142" i="49"/>
  <c r="K139" i="49"/>
  <c r="K140" i="49"/>
  <c r="K141" i="49"/>
  <c r="K138" i="49"/>
  <c r="J142" i="49"/>
  <c r="I142" i="49"/>
  <c r="H142" i="49"/>
  <c r="O142" i="49"/>
  <c r="N141" i="49"/>
  <c r="M141" i="49"/>
  <c r="L141" i="49"/>
  <c r="J141" i="49"/>
  <c r="H141" i="49"/>
  <c r="I141" i="49"/>
  <c r="O141" i="49"/>
  <c r="N140" i="49"/>
  <c r="M140" i="49"/>
  <c r="L140" i="49"/>
  <c r="J140" i="49"/>
  <c r="I140" i="49"/>
  <c r="O140" i="49"/>
  <c r="H140" i="49"/>
  <c r="N139" i="49"/>
  <c r="M139" i="49"/>
  <c r="L139" i="49"/>
  <c r="L138" i="49"/>
  <c r="J139" i="49"/>
  <c r="I139" i="49"/>
  <c r="H139" i="49"/>
  <c r="N137" i="49"/>
  <c r="M137" i="49"/>
  <c r="L137" i="49"/>
  <c r="K137" i="49"/>
  <c r="J137" i="49"/>
  <c r="I137" i="49"/>
  <c r="H137" i="49"/>
  <c r="O137" i="49"/>
  <c r="N136" i="49"/>
  <c r="M136" i="49"/>
  <c r="L136" i="49"/>
  <c r="K136" i="49"/>
  <c r="J136" i="49"/>
  <c r="I136" i="49"/>
  <c r="H136" i="49"/>
  <c r="N135" i="49"/>
  <c r="M135" i="49"/>
  <c r="L135" i="49"/>
  <c r="K135" i="49"/>
  <c r="J135" i="49"/>
  <c r="I135" i="49"/>
  <c r="H135" i="49"/>
  <c r="O135" i="49"/>
  <c r="N134" i="49"/>
  <c r="M134" i="49"/>
  <c r="L134" i="49"/>
  <c r="L133" i="49"/>
  <c r="L132" i="49"/>
  <c r="L131" i="49"/>
  <c r="K134" i="49"/>
  <c r="J134" i="49"/>
  <c r="I134" i="49"/>
  <c r="H134" i="49"/>
  <c r="N133" i="49"/>
  <c r="M133" i="49"/>
  <c r="K133" i="49"/>
  <c r="J133" i="49"/>
  <c r="I133" i="49"/>
  <c r="O133" i="49"/>
  <c r="H133" i="49"/>
  <c r="N129" i="49"/>
  <c r="N127" i="49"/>
  <c r="N128" i="49"/>
  <c r="N126" i="49"/>
  <c r="N125" i="49"/>
  <c r="M129" i="49"/>
  <c r="L129" i="49"/>
  <c r="K129" i="49"/>
  <c r="J129" i="49"/>
  <c r="H129" i="49"/>
  <c r="I129" i="49"/>
  <c r="O129" i="49"/>
  <c r="M128" i="49"/>
  <c r="L128" i="49"/>
  <c r="K128" i="49"/>
  <c r="J128" i="49"/>
  <c r="I128" i="49"/>
  <c r="H128" i="49"/>
  <c r="M127" i="49"/>
  <c r="L127" i="49"/>
  <c r="L126" i="49"/>
  <c r="L125" i="49"/>
  <c r="K127" i="49"/>
  <c r="J127" i="49"/>
  <c r="I127" i="49"/>
  <c r="H127" i="49"/>
  <c r="O127" i="49"/>
  <c r="N121" i="49"/>
  <c r="M121" i="49"/>
  <c r="L121" i="49"/>
  <c r="K121" i="49"/>
  <c r="N120" i="49"/>
  <c r="M120" i="49"/>
  <c r="L120" i="49"/>
  <c r="L119" i="49"/>
  <c r="K120" i="49"/>
  <c r="N117" i="49"/>
  <c r="M117" i="49"/>
  <c r="L117" i="49"/>
  <c r="L116" i="49"/>
  <c r="K117" i="49"/>
  <c r="K116" i="49"/>
  <c r="J117" i="49"/>
  <c r="J116" i="49"/>
  <c r="I117" i="49"/>
  <c r="H117" i="49"/>
  <c r="N115" i="49"/>
  <c r="N114" i="49"/>
  <c r="M115" i="49"/>
  <c r="L115" i="49"/>
  <c r="L114" i="49"/>
  <c r="K115" i="49"/>
  <c r="J115" i="49"/>
  <c r="H115" i="49"/>
  <c r="I115" i="49"/>
  <c r="O115" i="49"/>
  <c r="O114" i="49"/>
  <c r="H114" i="49"/>
  <c r="N113" i="49"/>
  <c r="M113" i="49"/>
  <c r="L113" i="49"/>
  <c r="K113" i="49"/>
  <c r="J113" i="49"/>
  <c r="I113" i="49"/>
  <c r="O113" i="49"/>
  <c r="H113" i="49"/>
  <c r="N112" i="49"/>
  <c r="M112" i="49"/>
  <c r="L112" i="49"/>
  <c r="K112" i="49"/>
  <c r="J112" i="49"/>
  <c r="I112" i="49"/>
  <c r="H112" i="49"/>
  <c r="N111" i="49"/>
  <c r="M111" i="49"/>
  <c r="L111" i="49"/>
  <c r="K111" i="49"/>
  <c r="J111" i="49"/>
  <c r="I111" i="49"/>
  <c r="H111" i="49"/>
  <c r="N110" i="49"/>
  <c r="M110" i="49"/>
  <c r="L110" i="49"/>
  <c r="K110" i="49"/>
  <c r="J110" i="49"/>
  <c r="H110" i="49"/>
  <c r="I110" i="49"/>
  <c r="O110" i="49"/>
  <c r="N109" i="49"/>
  <c r="M109" i="49"/>
  <c r="M108" i="49"/>
  <c r="M114" i="49"/>
  <c r="M107" i="49"/>
  <c r="L109" i="49"/>
  <c r="K109" i="49"/>
  <c r="J109" i="49"/>
  <c r="I109" i="49"/>
  <c r="H109" i="49"/>
  <c r="N104" i="49"/>
  <c r="M104" i="49"/>
  <c r="L104" i="49"/>
  <c r="L103" i="49"/>
  <c r="K104" i="49"/>
  <c r="K103" i="49"/>
  <c r="J103" i="49"/>
  <c r="N100" i="49"/>
  <c r="M100" i="49"/>
  <c r="L100" i="49"/>
  <c r="K100" i="49"/>
  <c r="J100" i="49"/>
  <c r="H100" i="49"/>
  <c r="I100" i="49"/>
  <c r="O100" i="49"/>
  <c r="N99" i="49"/>
  <c r="M99" i="49"/>
  <c r="L99" i="49"/>
  <c r="K99" i="49"/>
  <c r="J99" i="49"/>
  <c r="I99" i="49"/>
  <c r="H99" i="49"/>
  <c r="O99" i="49"/>
  <c r="N98" i="49"/>
  <c r="M98" i="49"/>
  <c r="L98" i="49"/>
  <c r="K98" i="49"/>
  <c r="J98" i="49"/>
  <c r="I98" i="49"/>
  <c r="H98" i="49"/>
  <c r="O98" i="49"/>
  <c r="N97" i="49"/>
  <c r="M97" i="49"/>
  <c r="L97" i="49"/>
  <c r="K97" i="49"/>
  <c r="K95" i="49"/>
  <c r="K96" i="49"/>
  <c r="K94" i="49"/>
  <c r="J97" i="49"/>
  <c r="I97" i="49"/>
  <c r="H97" i="49"/>
  <c r="N96" i="49"/>
  <c r="M96" i="49"/>
  <c r="L96" i="49"/>
  <c r="J96" i="49"/>
  <c r="H96" i="49"/>
  <c r="I96" i="49"/>
  <c r="O96" i="49"/>
  <c r="N95" i="49"/>
  <c r="M95" i="49"/>
  <c r="M94" i="49"/>
  <c r="L95" i="49"/>
  <c r="J95" i="49"/>
  <c r="I95" i="49"/>
  <c r="H95" i="49"/>
  <c r="O95" i="49"/>
  <c r="N93" i="49"/>
  <c r="M93" i="49"/>
  <c r="L93" i="49"/>
  <c r="K93" i="49"/>
  <c r="J93" i="49"/>
  <c r="I93" i="49"/>
  <c r="H93" i="49"/>
  <c r="O93" i="49"/>
  <c r="N92" i="49"/>
  <c r="M92" i="49"/>
  <c r="L92" i="49"/>
  <c r="K92" i="49"/>
  <c r="J92" i="49"/>
  <c r="I92" i="49"/>
  <c r="H92" i="49"/>
  <c r="N91" i="49"/>
  <c r="N90" i="49"/>
  <c r="M91" i="49"/>
  <c r="L91" i="49"/>
  <c r="K91" i="49"/>
  <c r="J91" i="49"/>
  <c r="I91" i="49"/>
  <c r="H91" i="49"/>
  <c r="N89" i="49"/>
  <c r="M89" i="49"/>
  <c r="M87" i="49"/>
  <c r="M88" i="49"/>
  <c r="M86" i="49"/>
  <c r="L89" i="49"/>
  <c r="K89" i="49"/>
  <c r="J89" i="49"/>
  <c r="I89" i="49"/>
  <c r="O89" i="49"/>
  <c r="H89" i="49"/>
  <c r="N88" i="49"/>
  <c r="L88" i="49"/>
  <c r="K88" i="49"/>
  <c r="J88" i="49"/>
  <c r="I88" i="49"/>
  <c r="H88" i="49"/>
  <c r="O88" i="49"/>
  <c r="N87" i="49"/>
  <c r="L87" i="49"/>
  <c r="K87" i="49"/>
  <c r="K86" i="49"/>
  <c r="J87" i="49"/>
  <c r="I87" i="49"/>
  <c r="H87" i="49"/>
  <c r="N85" i="49"/>
  <c r="M85" i="49"/>
  <c r="L85" i="49"/>
  <c r="K85" i="49"/>
  <c r="J85" i="49"/>
  <c r="I85" i="49"/>
  <c r="O85" i="49"/>
  <c r="H85" i="49"/>
  <c r="N84" i="49"/>
  <c r="M84" i="49"/>
  <c r="L84" i="49"/>
  <c r="K84" i="49"/>
  <c r="J84" i="49"/>
  <c r="I84" i="49"/>
  <c r="O84" i="49"/>
  <c r="H84" i="49"/>
  <c r="N83" i="49"/>
  <c r="M83" i="49"/>
  <c r="L83" i="49"/>
  <c r="K83" i="49"/>
  <c r="J83" i="49"/>
  <c r="I83" i="49"/>
  <c r="H83" i="49"/>
  <c r="N82" i="49"/>
  <c r="M82" i="49"/>
  <c r="L82" i="49"/>
  <c r="K82" i="49"/>
  <c r="J82" i="49"/>
  <c r="I82" i="49"/>
  <c r="H82" i="49"/>
  <c r="N81" i="49"/>
  <c r="N80" i="49"/>
  <c r="M81" i="49"/>
  <c r="L81" i="49"/>
  <c r="K81" i="49"/>
  <c r="J81" i="49"/>
  <c r="H81" i="49"/>
  <c r="I81" i="49"/>
  <c r="O81" i="49"/>
  <c r="N79" i="49"/>
  <c r="M79" i="49"/>
  <c r="L79" i="49"/>
  <c r="K79" i="49"/>
  <c r="J79" i="49"/>
  <c r="I79" i="49"/>
  <c r="H79" i="49"/>
  <c r="O79" i="49"/>
  <c r="N78" i="49"/>
  <c r="M78" i="49"/>
  <c r="L78" i="49"/>
  <c r="L77" i="49"/>
  <c r="K78" i="49"/>
  <c r="J78" i="49"/>
  <c r="I78" i="49"/>
  <c r="H78" i="49"/>
  <c r="O78" i="49"/>
  <c r="O77" i="49"/>
  <c r="N76" i="49"/>
  <c r="M76" i="49"/>
  <c r="L76" i="49"/>
  <c r="K76" i="49"/>
  <c r="J76" i="49"/>
  <c r="I76" i="49"/>
  <c r="H76" i="49"/>
  <c r="N75" i="49"/>
  <c r="M75" i="49"/>
  <c r="L75" i="49"/>
  <c r="K75" i="49"/>
  <c r="J75" i="49"/>
  <c r="I75" i="49"/>
  <c r="O75" i="49"/>
  <c r="H75" i="49"/>
  <c r="N74" i="49"/>
  <c r="M74" i="49"/>
  <c r="L74" i="49"/>
  <c r="K74" i="49"/>
  <c r="J74" i="49"/>
  <c r="I74" i="49"/>
  <c r="H74" i="49"/>
  <c r="O74" i="49"/>
  <c r="N73" i="49"/>
  <c r="M73" i="49"/>
  <c r="L73" i="49"/>
  <c r="K73" i="49"/>
  <c r="J73" i="49"/>
  <c r="I73" i="49"/>
  <c r="H73" i="49"/>
  <c r="O73" i="49"/>
  <c r="N72" i="49"/>
  <c r="M72" i="49"/>
  <c r="L72" i="49"/>
  <c r="K72" i="49"/>
  <c r="K71" i="49"/>
  <c r="J72" i="49"/>
  <c r="I72" i="49"/>
  <c r="H72" i="49"/>
  <c r="N69" i="49"/>
  <c r="M69" i="49"/>
  <c r="L69" i="49"/>
  <c r="K69" i="49"/>
  <c r="J69" i="49"/>
  <c r="I69" i="49"/>
  <c r="O69" i="49"/>
  <c r="H69" i="49"/>
  <c r="N68" i="49"/>
  <c r="M68" i="49"/>
  <c r="L68" i="49"/>
  <c r="K68" i="49"/>
  <c r="J68" i="49"/>
  <c r="I68" i="49"/>
  <c r="O68" i="49"/>
  <c r="H68" i="49"/>
  <c r="N67" i="49"/>
  <c r="M67" i="49"/>
  <c r="L67" i="49"/>
  <c r="K67" i="49"/>
  <c r="J67" i="49"/>
  <c r="I67" i="49"/>
  <c r="H67" i="49"/>
  <c r="N66" i="49"/>
  <c r="M66" i="49"/>
  <c r="L66" i="49"/>
  <c r="K66" i="49"/>
  <c r="J66" i="49"/>
  <c r="I66" i="49"/>
  <c r="H66" i="49"/>
  <c r="N65" i="49"/>
  <c r="M65" i="49"/>
  <c r="L65" i="49"/>
  <c r="K65" i="49"/>
  <c r="J65" i="49"/>
  <c r="H65" i="49"/>
  <c r="I65" i="49"/>
  <c r="O65" i="49"/>
  <c r="N64" i="49"/>
  <c r="M64" i="49"/>
  <c r="M63" i="49"/>
  <c r="L64" i="49"/>
  <c r="K64" i="49"/>
  <c r="J64" i="49"/>
  <c r="I64" i="49"/>
  <c r="H64" i="49"/>
  <c r="O64" i="49"/>
  <c r="N62" i="49"/>
  <c r="M62" i="49"/>
  <c r="L62" i="49"/>
  <c r="K62" i="49"/>
  <c r="J62" i="49"/>
  <c r="I62" i="49"/>
  <c r="H62" i="49"/>
  <c r="N61" i="49"/>
  <c r="M61" i="49"/>
  <c r="L61" i="49"/>
  <c r="K61" i="49"/>
  <c r="J61" i="49"/>
  <c r="I61" i="49"/>
  <c r="O61" i="49"/>
  <c r="H61" i="49"/>
  <c r="N60" i="49"/>
  <c r="M60" i="49"/>
  <c r="L60" i="49"/>
  <c r="K60" i="49"/>
  <c r="J60" i="49"/>
  <c r="I60" i="49"/>
  <c r="O60" i="49"/>
  <c r="H60" i="49"/>
  <c r="N59" i="49"/>
  <c r="M59" i="49"/>
  <c r="M57" i="49"/>
  <c r="M58" i="49"/>
  <c r="M56" i="49"/>
  <c r="L59" i="49"/>
  <c r="K59" i="49"/>
  <c r="J59" i="49"/>
  <c r="I59" i="49"/>
  <c r="H59" i="49"/>
  <c r="O59" i="49"/>
  <c r="N58" i="49"/>
  <c r="L58" i="49"/>
  <c r="K58" i="49"/>
  <c r="J58" i="49"/>
  <c r="I58" i="49"/>
  <c r="H58" i="49"/>
  <c r="O58" i="49"/>
  <c r="N57" i="49"/>
  <c r="L57" i="49"/>
  <c r="K57" i="49"/>
  <c r="K56" i="49"/>
  <c r="J57" i="49"/>
  <c r="I57" i="49"/>
  <c r="H57" i="49"/>
  <c r="N55" i="49"/>
  <c r="M55" i="49"/>
  <c r="L55" i="49"/>
  <c r="K55" i="49"/>
  <c r="J55" i="49"/>
  <c r="I55" i="49"/>
  <c r="O55" i="49"/>
  <c r="H55" i="49"/>
  <c r="N54" i="49"/>
  <c r="M54" i="49"/>
  <c r="L54" i="49"/>
  <c r="K54" i="49"/>
  <c r="J54" i="49"/>
  <c r="I54" i="49"/>
  <c r="H54" i="49"/>
  <c r="O54" i="49"/>
  <c r="N53" i="49"/>
  <c r="M53" i="49"/>
  <c r="L53" i="49"/>
  <c r="K53" i="49"/>
  <c r="J53" i="49"/>
  <c r="I53" i="49"/>
  <c r="O53" i="49"/>
  <c r="H53" i="49"/>
  <c r="H14" i="49"/>
  <c r="N223" i="49"/>
  <c r="N52" i="49"/>
  <c r="M52" i="49"/>
  <c r="L52" i="49"/>
  <c r="K52" i="49"/>
  <c r="J52" i="49"/>
  <c r="I52" i="49"/>
  <c r="H52" i="49"/>
  <c r="N51" i="49"/>
  <c r="M51" i="49"/>
  <c r="L51" i="49"/>
  <c r="K51" i="49"/>
  <c r="J51" i="49"/>
  <c r="H51" i="49"/>
  <c r="I51" i="49"/>
  <c r="O51" i="49"/>
  <c r="N50" i="49"/>
  <c r="M50" i="49"/>
  <c r="L50" i="49"/>
  <c r="K50" i="49"/>
  <c r="J50" i="49"/>
  <c r="I50" i="49"/>
  <c r="H50" i="49"/>
  <c r="N49" i="49"/>
  <c r="M49" i="49"/>
  <c r="L49" i="49"/>
  <c r="K49" i="49"/>
  <c r="J49" i="49"/>
  <c r="I49" i="49"/>
  <c r="H49" i="49"/>
  <c r="O49" i="49"/>
  <c r="N48" i="49"/>
  <c r="M48" i="49"/>
  <c r="L48" i="49"/>
  <c r="K48" i="49"/>
  <c r="K47" i="49"/>
  <c r="J48" i="49"/>
  <c r="I48" i="49"/>
  <c r="H48" i="49"/>
  <c r="N46" i="49"/>
  <c r="N45" i="49"/>
  <c r="M46" i="49"/>
  <c r="L46" i="49"/>
  <c r="K46" i="49"/>
  <c r="K45" i="49"/>
  <c r="J46" i="49"/>
  <c r="I46" i="49"/>
  <c r="I45" i="49"/>
  <c r="H46" i="49"/>
  <c r="N44" i="49"/>
  <c r="M44" i="49"/>
  <c r="L44" i="49"/>
  <c r="K44" i="49"/>
  <c r="J44" i="49"/>
  <c r="I44" i="49"/>
  <c r="H44" i="49"/>
  <c r="O44" i="49"/>
  <c r="N43" i="49"/>
  <c r="M43" i="49"/>
  <c r="L43" i="49"/>
  <c r="K43" i="49"/>
  <c r="J43" i="49"/>
  <c r="I43" i="49"/>
  <c r="H43" i="49"/>
  <c r="O43" i="49"/>
  <c r="N42" i="49"/>
  <c r="M42" i="49"/>
  <c r="L42" i="49"/>
  <c r="K42" i="49"/>
  <c r="J42" i="49"/>
  <c r="I42" i="49"/>
  <c r="H42" i="49"/>
  <c r="N41" i="49"/>
  <c r="M41" i="49"/>
  <c r="L41" i="49"/>
  <c r="K41" i="49"/>
  <c r="J41" i="49"/>
  <c r="H41" i="49"/>
  <c r="I41" i="49"/>
  <c r="O41" i="49"/>
  <c r="N40" i="49"/>
  <c r="M40" i="49"/>
  <c r="L40" i="49"/>
  <c r="K40" i="49"/>
  <c r="J40" i="49"/>
  <c r="I40" i="49"/>
  <c r="H40" i="49"/>
  <c r="O40" i="49"/>
  <c r="N39" i="49"/>
  <c r="M39" i="49"/>
  <c r="L39" i="49"/>
  <c r="K39" i="49"/>
  <c r="J39" i="49"/>
  <c r="I39" i="49"/>
  <c r="H39" i="49"/>
  <c r="N38" i="49"/>
  <c r="M38" i="49"/>
  <c r="L38" i="49"/>
  <c r="K38" i="49"/>
  <c r="K37" i="49"/>
  <c r="J38" i="49"/>
  <c r="I38" i="49"/>
  <c r="H38" i="49"/>
  <c r="N35" i="49"/>
  <c r="M35" i="49"/>
  <c r="L35" i="49"/>
  <c r="K35" i="49"/>
  <c r="J35" i="49"/>
  <c r="H35" i="49"/>
  <c r="I35" i="49"/>
  <c r="O35" i="49"/>
  <c r="N34" i="49"/>
  <c r="M34" i="49"/>
  <c r="L34" i="49"/>
  <c r="K34" i="49"/>
  <c r="J34" i="49"/>
  <c r="I34" i="49"/>
  <c r="H34" i="49"/>
  <c r="O34" i="49"/>
  <c r="N33" i="49"/>
  <c r="M33" i="49"/>
  <c r="L33" i="49"/>
  <c r="L32" i="49"/>
  <c r="K33" i="49"/>
  <c r="J33" i="49"/>
  <c r="I33" i="49"/>
  <c r="H33" i="49"/>
  <c r="N31" i="49"/>
  <c r="M31" i="49"/>
  <c r="L31" i="49"/>
  <c r="K31" i="49"/>
  <c r="J31" i="49"/>
  <c r="I31" i="49"/>
  <c r="I30" i="49"/>
  <c r="I29" i="49"/>
  <c r="H31" i="49"/>
  <c r="N30" i="49"/>
  <c r="N29" i="49"/>
  <c r="M30" i="49"/>
  <c r="L30" i="49"/>
  <c r="K30" i="49"/>
  <c r="J30" i="49"/>
  <c r="H30" i="49"/>
  <c r="O30" i="49"/>
  <c r="N25" i="49"/>
  <c r="M25" i="49"/>
  <c r="L25" i="49"/>
  <c r="K25" i="49"/>
  <c r="J25" i="49"/>
  <c r="I25" i="49"/>
  <c r="H25" i="49"/>
  <c r="O25" i="49"/>
  <c r="N24" i="49"/>
  <c r="M24" i="49"/>
  <c r="L24" i="49"/>
  <c r="K24" i="49"/>
  <c r="J24" i="49"/>
  <c r="I24" i="49"/>
  <c r="H24" i="49"/>
  <c r="O24" i="49"/>
  <c r="N23" i="49"/>
  <c r="M23" i="49"/>
  <c r="L23" i="49"/>
  <c r="K23" i="49"/>
  <c r="J23" i="49"/>
  <c r="I23" i="49"/>
  <c r="H23" i="49"/>
  <c r="N22" i="49"/>
  <c r="M22" i="49"/>
  <c r="L22" i="49"/>
  <c r="K22" i="49"/>
  <c r="J22" i="49"/>
  <c r="H22" i="49"/>
  <c r="I22" i="49"/>
  <c r="O22" i="49"/>
  <c r="N21" i="49"/>
  <c r="M21" i="49"/>
  <c r="L21" i="49"/>
  <c r="K21" i="49"/>
  <c r="J21" i="49"/>
  <c r="I21" i="49"/>
  <c r="H21" i="49"/>
  <c r="O21" i="49"/>
  <c r="N20" i="49"/>
  <c r="M20" i="49"/>
  <c r="L20" i="49"/>
  <c r="K20" i="49"/>
  <c r="J20" i="49"/>
  <c r="I20" i="49"/>
  <c r="H20" i="49"/>
  <c r="O20" i="49"/>
  <c r="N19" i="49"/>
  <c r="M19" i="49"/>
  <c r="L19" i="49"/>
  <c r="K19" i="49"/>
  <c r="J19" i="49"/>
  <c r="I19" i="49"/>
  <c r="H19" i="49"/>
  <c r="N18" i="49"/>
  <c r="N17" i="49"/>
  <c r="M18" i="49"/>
  <c r="L18" i="49"/>
  <c r="K18" i="49"/>
  <c r="J18" i="49"/>
  <c r="H18" i="49"/>
  <c r="I18" i="49"/>
  <c r="O18" i="49"/>
  <c r="N14" i="49"/>
  <c r="M14" i="49"/>
  <c r="L14" i="49"/>
  <c r="K14" i="49"/>
  <c r="J14" i="49"/>
  <c r="I14" i="49"/>
  <c r="O14" i="49"/>
  <c r="N13" i="49"/>
  <c r="M13" i="49"/>
  <c r="L13" i="49"/>
  <c r="K13" i="49"/>
  <c r="J13" i="49"/>
  <c r="I13" i="49"/>
  <c r="H13" i="49"/>
  <c r="O13" i="49"/>
  <c r="N12" i="49"/>
  <c r="M12" i="49"/>
  <c r="L12" i="49"/>
  <c r="K12" i="49"/>
  <c r="J12" i="49"/>
  <c r="I12" i="49"/>
  <c r="H12" i="49"/>
  <c r="N11" i="49"/>
  <c r="M11" i="49"/>
  <c r="L11" i="49"/>
  <c r="K11" i="49"/>
  <c r="J11" i="49"/>
  <c r="H11" i="49"/>
  <c r="I11" i="49"/>
  <c r="O11" i="49"/>
  <c r="N10" i="49"/>
  <c r="M10" i="49"/>
  <c r="M9" i="49"/>
  <c r="M8" i="49"/>
  <c r="L10" i="49"/>
  <c r="K10" i="49"/>
  <c r="J10" i="49"/>
  <c r="I10" i="49"/>
  <c r="H10" i="49"/>
  <c r="O10" i="49"/>
  <c r="O187" i="49"/>
  <c r="O185" i="49"/>
  <c r="O184" i="49"/>
  <c r="O182" i="49"/>
  <c r="O181" i="49"/>
  <c r="O180" i="49"/>
  <c r="O179" i="49"/>
  <c r="O176" i="49"/>
  <c r="M169" i="49"/>
  <c r="O174" i="49"/>
  <c r="O165" i="49"/>
  <c r="O164" i="49"/>
  <c r="O163" i="49"/>
  <c r="O162" i="49"/>
  <c r="O161" i="49"/>
  <c r="I160" i="49"/>
  <c r="O160" i="49"/>
  <c r="O159" i="49"/>
  <c r="I158" i="49"/>
  <c r="O158" i="49"/>
  <c r="O156" i="49"/>
  <c r="O157" i="49"/>
  <c r="O155" i="49"/>
  <c r="O154" i="49"/>
  <c r="I155" i="49"/>
  <c r="I154" i="49"/>
  <c r="N155" i="49"/>
  <c r="M155" i="49"/>
  <c r="L155" i="49"/>
  <c r="K155" i="49"/>
  <c r="J155" i="49"/>
  <c r="H155" i="49"/>
  <c r="N154" i="49"/>
  <c r="M154" i="49"/>
  <c r="L154" i="49"/>
  <c r="K154" i="49"/>
  <c r="J154" i="49"/>
  <c r="H154" i="49"/>
  <c r="O145" i="49"/>
  <c r="M145" i="49"/>
  <c r="I145" i="49"/>
  <c r="O136" i="49"/>
  <c r="N119" i="49"/>
  <c r="J119" i="49"/>
  <c r="N116" i="49"/>
  <c r="M116" i="49"/>
  <c r="I116" i="49"/>
  <c r="K114" i="49"/>
  <c r="I114" i="49"/>
  <c r="L108" i="49"/>
  <c r="L107" i="49"/>
  <c r="N103" i="49"/>
  <c r="M103" i="49"/>
  <c r="I103" i="49"/>
  <c r="J80" i="49"/>
  <c r="O67" i="49"/>
  <c r="K63" i="49"/>
  <c r="O62" i="49"/>
  <c r="M45" i="49"/>
  <c r="L45" i="49"/>
  <c r="H45" i="49"/>
  <c r="O39" i="49"/>
  <c r="J17" i="49"/>
  <c r="N220" i="48"/>
  <c r="M220" i="48"/>
  <c r="L220" i="48"/>
  <c r="K220" i="48"/>
  <c r="J220" i="48"/>
  <c r="I220" i="48"/>
  <c r="H220" i="48"/>
  <c r="N218" i="48"/>
  <c r="M218" i="48"/>
  <c r="L218" i="48"/>
  <c r="K218" i="48"/>
  <c r="J218" i="48"/>
  <c r="I218" i="48"/>
  <c r="H218" i="48"/>
  <c r="N215" i="48"/>
  <c r="M215" i="48"/>
  <c r="L215" i="48"/>
  <c r="K215" i="48"/>
  <c r="J215" i="48"/>
  <c r="I215" i="48"/>
  <c r="H215" i="48"/>
  <c r="N213" i="48"/>
  <c r="M213" i="48"/>
  <c r="L213" i="48"/>
  <c r="K213" i="48"/>
  <c r="J213" i="48"/>
  <c r="I213" i="48"/>
  <c r="H213" i="48"/>
  <c r="N209" i="48"/>
  <c r="M209" i="48"/>
  <c r="L209" i="48"/>
  <c r="K209" i="48"/>
  <c r="J209" i="48"/>
  <c r="I209" i="48"/>
  <c r="H209" i="48"/>
  <c r="N207" i="48"/>
  <c r="M207" i="48"/>
  <c r="L207" i="48"/>
  <c r="K207" i="48"/>
  <c r="J207" i="48"/>
  <c r="I207" i="48"/>
  <c r="H207" i="48"/>
  <c r="N203" i="48"/>
  <c r="M203" i="48"/>
  <c r="L203" i="48"/>
  <c r="K203" i="48"/>
  <c r="J203" i="48"/>
  <c r="I203" i="48"/>
  <c r="H203" i="48"/>
  <c r="O203" i="48"/>
  <c r="N201" i="48"/>
  <c r="M201" i="48"/>
  <c r="L201" i="48"/>
  <c r="K201" i="48"/>
  <c r="J201" i="48"/>
  <c r="H201" i="48"/>
  <c r="I201" i="48"/>
  <c r="O201" i="48"/>
  <c r="N198" i="48"/>
  <c r="M198" i="48"/>
  <c r="L198" i="48"/>
  <c r="K198" i="48"/>
  <c r="J198" i="48"/>
  <c r="I198" i="48"/>
  <c r="H198" i="48"/>
  <c r="N196" i="48"/>
  <c r="M196" i="48"/>
  <c r="L196" i="48"/>
  <c r="K196" i="48"/>
  <c r="J196" i="48"/>
  <c r="I196" i="48"/>
  <c r="H196" i="48"/>
  <c r="N193" i="48"/>
  <c r="M193" i="48"/>
  <c r="L193" i="48"/>
  <c r="L191" i="48"/>
  <c r="L188" i="48"/>
  <c r="K193" i="48"/>
  <c r="J193" i="48"/>
  <c r="I193" i="48"/>
  <c r="H193" i="48"/>
  <c r="O193" i="48"/>
  <c r="N191" i="48"/>
  <c r="M191" i="48"/>
  <c r="K191" i="48"/>
  <c r="J191" i="48"/>
  <c r="I191" i="48"/>
  <c r="H191" i="48"/>
  <c r="N186" i="48"/>
  <c r="M186" i="48"/>
  <c r="L186" i="48"/>
  <c r="K186" i="48"/>
  <c r="J186" i="48"/>
  <c r="I186" i="48"/>
  <c r="H186" i="48"/>
  <c r="N185" i="48"/>
  <c r="M185" i="48"/>
  <c r="L185" i="48"/>
  <c r="K185" i="48"/>
  <c r="J185" i="48"/>
  <c r="I185" i="48"/>
  <c r="H185" i="48"/>
  <c r="N183" i="48"/>
  <c r="M183" i="48"/>
  <c r="L183" i="48"/>
  <c r="K183" i="48"/>
  <c r="J183" i="48"/>
  <c r="I183" i="48"/>
  <c r="H183" i="48"/>
  <c r="O183" i="48"/>
  <c r="N181" i="48"/>
  <c r="M181" i="48"/>
  <c r="L181" i="48"/>
  <c r="K181" i="48"/>
  <c r="J181" i="48"/>
  <c r="I181" i="48"/>
  <c r="H181" i="48"/>
  <c r="N178" i="48"/>
  <c r="M178" i="48"/>
  <c r="L178" i="48"/>
  <c r="K178" i="48"/>
  <c r="J178" i="48"/>
  <c r="I178" i="48"/>
  <c r="H178" i="48"/>
  <c r="N177" i="48"/>
  <c r="M177" i="48"/>
  <c r="L177" i="48"/>
  <c r="K177" i="48"/>
  <c r="J177" i="48"/>
  <c r="I177" i="48"/>
  <c r="H177" i="48"/>
  <c r="N175" i="48"/>
  <c r="M175" i="48"/>
  <c r="L175" i="48"/>
  <c r="K175" i="48"/>
  <c r="J175" i="48"/>
  <c r="I175" i="48"/>
  <c r="H175" i="48"/>
  <c r="N173" i="48"/>
  <c r="M173" i="48"/>
  <c r="L173" i="48"/>
  <c r="K173" i="48"/>
  <c r="J173" i="48"/>
  <c r="H173" i="48"/>
  <c r="I173" i="48"/>
  <c r="O173" i="48"/>
  <c r="N172" i="48"/>
  <c r="M172" i="48"/>
  <c r="L172" i="48"/>
  <c r="K172" i="48"/>
  <c r="J172" i="48"/>
  <c r="I172" i="48"/>
  <c r="H172" i="48"/>
  <c r="N171" i="48"/>
  <c r="M171" i="48"/>
  <c r="L171" i="48"/>
  <c r="K171" i="48"/>
  <c r="J171" i="48"/>
  <c r="I171" i="48"/>
  <c r="H171" i="48"/>
  <c r="N152" i="48"/>
  <c r="M152" i="48"/>
  <c r="M151" i="48"/>
  <c r="M150" i="48"/>
  <c r="L152" i="48"/>
  <c r="K152" i="48"/>
  <c r="J152" i="48"/>
  <c r="I152" i="48"/>
  <c r="H152" i="48"/>
  <c r="O152" i="48"/>
  <c r="N151" i="48"/>
  <c r="L151" i="48"/>
  <c r="L150" i="48"/>
  <c r="K151" i="48"/>
  <c r="J151" i="48"/>
  <c r="J150" i="48"/>
  <c r="I151" i="48"/>
  <c r="H151" i="48"/>
  <c r="L145" i="48"/>
  <c r="K145" i="48"/>
  <c r="N145" i="48"/>
  <c r="O145" i="48"/>
  <c r="N144" i="48"/>
  <c r="M144" i="48"/>
  <c r="L144" i="48"/>
  <c r="K144" i="48"/>
  <c r="J144" i="48"/>
  <c r="I144" i="48"/>
  <c r="H144" i="48"/>
  <c r="N143" i="48"/>
  <c r="M143" i="48"/>
  <c r="L143" i="48"/>
  <c r="K143" i="48"/>
  <c r="J143" i="48"/>
  <c r="I143" i="48"/>
  <c r="H143" i="48"/>
  <c r="N142" i="48"/>
  <c r="M142" i="48"/>
  <c r="L142" i="48"/>
  <c r="K142" i="48"/>
  <c r="J142" i="48"/>
  <c r="I142" i="48"/>
  <c r="H142" i="48"/>
  <c r="O142" i="48"/>
  <c r="N141" i="48"/>
  <c r="M141" i="48"/>
  <c r="L141" i="48"/>
  <c r="K141" i="48"/>
  <c r="J141" i="48"/>
  <c r="H141" i="48"/>
  <c r="I141" i="48"/>
  <c r="O141" i="48"/>
  <c r="N140" i="48"/>
  <c r="M140" i="48"/>
  <c r="L140" i="48"/>
  <c r="K140" i="48"/>
  <c r="J140" i="48"/>
  <c r="I140" i="48"/>
  <c r="H140" i="48"/>
  <c r="N139" i="48"/>
  <c r="M139" i="48"/>
  <c r="L139" i="48"/>
  <c r="K139" i="48"/>
  <c r="J139" i="48"/>
  <c r="I139" i="48"/>
  <c r="H139" i="48"/>
  <c r="N137" i="48"/>
  <c r="M137" i="48"/>
  <c r="L137" i="48"/>
  <c r="K137" i="48"/>
  <c r="J137" i="48"/>
  <c r="I137" i="48"/>
  <c r="H137" i="48"/>
  <c r="O137" i="48"/>
  <c r="N136" i="48"/>
  <c r="M136" i="48"/>
  <c r="L136" i="48"/>
  <c r="K136" i="48"/>
  <c r="J136" i="48"/>
  <c r="H136" i="48"/>
  <c r="I136" i="48"/>
  <c r="O136" i="48"/>
  <c r="N135" i="48"/>
  <c r="M135" i="48"/>
  <c r="L135" i="48"/>
  <c r="K135" i="48"/>
  <c r="J135" i="48"/>
  <c r="I135" i="48"/>
  <c r="H135" i="48"/>
  <c r="N134" i="48"/>
  <c r="M134" i="48"/>
  <c r="L134" i="48"/>
  <c r="K134" i="48"/>
  <c r="J134" i="48"/>
  <c r="I134" i="48"/>
  <c r="H134" i="48"/>
  <c r="N133" i="48"/>
  <c r="M133" i="48"/>
  <c r="L133" i="48"/>
  <c r="L132" i="48"/>
  <c r="K133" i="48"/>
  <c r="J133" i="48"/>
  <c r="I133" i="48"/>
  <c r="O133" i="48"/>
  <c r="H133" i="48"/>
  <c r="N129" i="48"/>
  <c r="M129" i="48"/>
  <c r="L129" i="48"/>
  <c r="K129" i="48"/>
  <c r="K127" i="48"/>
  <c r="K128" i="48"/>
  <c r="K126" i="48"/>
  <c r="K125" i="48"/>
  <c r="J129" i="48"/>
  <c r="I129" i="48"/>
  <c r="H129" i="48"/>
  <c r="N128" i="48"/>
  <c r="M128" i="48"/>
  <c r="L128" i="48"/>
  <c r="J128" i="48"/>
  <c r="I128" i="48"/>
  <c r="H128" i="48"/>
  <c r="N127" i="48"/>
  <c r="M127" i="48"/>
  <c r="L127" i="48"/>
  <c r="L126" i="48"/>
  <c r="L125" i="48"/>
  <c r="J127" i="48"/>
  <c r="I127" i="48"/>
  <c r="H127" i="48"/>
  <c r="N121" i="48"/>
  <c r="M121" i="48"/>
  <c r="L121" i="48"/>
  <c r="K121" i="48"/>
  <c r="K120" i="48"/>
  <c r="K119" i="48"/>
  <c r="J119" i="48"/>
  <c r="N120" i="48"/>
  <c r="M120" i="48"/>
  <c r="L120" i="48"/>
  <c r="L119" i="48"/>
  <c r="N117" i="48"/>
  <c r="M117" i="48"/>
  <c r="M116" i="48"/>
  <c r="L117" i="48"/>
  <c r="K117" i="48"/>
  <c r="J117" i="48"/>
  <c r="I117" i="48"/>
  <c r="I116" i="48"/>
  <c r="H117" i="48"/>
  <c r="O117" i="48"/>
  <c r="O116" i="48"/>
  <c r="N115" i="48"/>
  <c r="N114" i="48"/>
  <c r="M115" i="48"/>
  <c r="M114" i="48"/>
  <c r="L115" i="48"/>
  <c r="L114" i="48"/>
  <c r="K115" i="48"/>
  <c r="K114" i="48"/>
  <c r="J115" i="48"/>
  <c r="J114" i="48"/>
  <c r="I115" i="48"/>
  <c r="I114" i="48"/>
  <c r="H115" i="48"/>
  <c r="H114" i="48"/>
  <c r="N113" i="48"/>
  <c r="M113" i="48"/>
  <c r="L113" i="48"/>
  <c r="K113" i="48"/>
  <c r="J113" i="48"/>
  <c r="I113" i="48"/>
  <c r="H113" i="48"/>
  <c r="N112" i="48"/>
  <c r="M112" i="48"/>
  <c r="L112" i="48"/>
  <c r="K112" i="48"/>
  <c r="J112" i="48"/>
  <c r="I112" i="48"/>
  <c r="O112" i="48"/>
  <c r="H112" i="48"/>
  <c r="N111" i="48"/>
  <c r="M111" i="48"/>
  <c r="L111" i="48"/>
  <c r="K111" i="48"/>
  <c r="J111" i="48"/>
  <c r="I111" i="48"/>
  <c r="H111" i="48"/>
  <c r="N110" i="48"/>
  <c r="M110" i="48"/>
  <c r="L110" i="48"/>
  <c r="K110" i="48"/>
  <c r="J110" i="48"/>
  <c r="I110" i="48"/>
  <c r="H110" i="48"/>
  <c r="N109" i="48"/>
  <c r="M109" i="48"/>
  <c r="L109" i="48"/>
  <c r="K109" i="48"/>
  <c r="J109" i="48"/>
  <c r="I109" i="48"/>
  <c r="H109" i="48"/>
  <c r="N104" i="48"/>
  <c r="M104" i="48"/>
  <c r="L104" i="48"/>
  <c r="L103" i="48"/>
  <c r="K104" i="48"/>
  <c r="K103" i="48"/>
  <c r="I103" i="48"/>
  <c r="N100" i="48"/>
  <c r="M100" i="48"/>
  <c r="L100" i="48"/>
  <c r="K100" i="48"/>
  <c r="J100" i="48"/>
  <c r="H100" i="48"/>
  <c r="I100" i="48"/>
  <c r="O100" i="48"/>
  <c r="N99" i="48"/>
  <c r="M99" i="48"/>
  <c r="L99" i="48"/>
  <c r="K99" i="48"/>
  <c r="J99" i="48"/>
  <c r="I99" i="48"/>
  <c r="H99" i="48"/>
  <c r="N98" i="48"/>
  <c r="M98" i="48"/>
  <c r="L98" i="48"/>
  <c r="K98" i="48"/>
  <c r="J98" i="48"/>
  <c r="I98" i="48"/>
  <c r="H98" i="48"/>
  <c r="N97" i="48"/>
  <c r="M97" i="48"/>
  <c r="L97" i="48"/>
  <c r="K97" i="48"/>
  <c r="J97" i="48"/>
  <c r="I97" i="48"/>
  <c r="H97" i="48"/>
  <c r="O97" i="48"/>
  <c r="N96" i="48"/>
  <c r="M96" i="48"/>
  <c r="L96" i="48"/>
  <c r="K96" i="48"/>
  <c r="J96" i="48"/>
  <c r="H96" i="48"/>
  <c r="I96" i="48"/>
  <c r="O96" i="48"/>
  <c r="N95" i="48"/>
  <c r="N94" i="48"/>
  <c r="M95" i="48"/>
  <c r="L95" i="48"/>
  <c r="K95" i="48"/>
  <c r="J95" i="48"/>
  <c r="I95" i="48"/>
  <c r="H95" i="48"/>
  <c r="N93" i="48"/>
  <c r="M93" i="48"/>
  <c r="L93" i="48"/>
  <c r="K93" i="48"/>
  <c r="J93" i="48"/>
  <c r="I93" i="48"/>
  <c r="I91" i="48"/>
  <c r="I92" i="48"/>
  <c r="I90" i="48"/>
  <c r="H93" i="48"/>
  <c r="N92" i="48"/>
  <c r="M92" i="48"/>
  <c r="L92" i="48"/>
  <c r="K92" i="48"/>
  <c r="J92" i="48"/>
  <c r="H92" i="48"/>
  <c r="O92" i="48"/>
  <c r="N91" i="48"/>
  <c r="N90" i="48"/>
  <c r="M91" i="48"/>
  <c r="L91" i="48"/>
  <c r="K91" i="48"/>
  <c r="J91" i="48"/>
  <c r="J90" i="48"/>
  <c r="H91" i="48"/>
  <c r="N89" i="48"/>
  <c r="M89" i="48"/>
  <c r="L89" i="48"/>
  <c r="K89" i="48"/>
  <c r="J89" i="48"/>
  <c r="I89" i="48"/>
  <c r="H89" i="48"/>
  <c r="N88" i="48"/>
  <c r="M88" i="48"/>
  <c r="L88" i="48"/>
  <c r="K88" i="48"/>
  <c r="J88" i="48"/>
  <c r="I88" i="48"/>
  <c r="H88" i="48"/>
  <c r="N87" i="48"/>
  <c r="M87" i="48"/>
  <c r="L87" i="48"/>
  <c r="L86" i="48"/>
  <c r="K87" i="48"/>
  <c r="K86" i="48"/>
  <c r="J87" i="48"/>
  <c r="I87" i="48"/>
  <c r="H87" i="48"/>
  <c r="O87" i="48"/>
  <c r="N85" i="48"/>
  <c r="M85" i="48"/>
  <c r="L85" i="48"/>
  <c r="K85" i="48"/>
  <c r="J85" i="48"/>
  <c r="I85" i="48"/>
  <c r="O85" i="48"/>
  <c r="H85" i="48"/>
  <c r="N84" i="48"/>
  <c r="M84" i="48"/>
  <c r="L84" i="48"/>
  <c r="K84" i="48"/>
  <c r="J84" i="48"/>
  <c r="I84" i="48"/>
  <c r="H84" i="48"/>
  <c r="N83" i="48"/>
  <c r="M83" i="48"/>
  <c r="M81" i="48"/>
  <c r="M82" i="48"/>
  <c r="M80" i="48"/>
  <c r="L83" i="48"/>
  <c r="K83" i="48"/>
  <c r="J83" i="48"/>
  <c r="I83" i="48"/>
  <c r="H83" i="48"/>
  <c r="N82" i="48"/>
  <c r="L82" i="48"/>
  <c r="K82" i="48"/>
  <c r="J82" i="48"/>
  <c r="I82" i="48"/>
  <c r="H82" i="48"/>
  <c r="N81" i="48"/>
  <c r="L81" i="48"/>
  <c r="K81" i="48"/>
  <c r="J81" i="48"/>
  <c r="H81" i="48"/>
  <c r="I81" i="48"/>
  <c r="O81" i="48"/>
  <c r="N79" i="48"/>
  <c r="M79" i="48"/>
  <c r="L79" i="48"/>
  <c r="K79" i="48"/>
  <c r="K78" i="48"/>
  <c r="K77" i="48"/>
  <c r="J79" i="48"/>
  <c r="J78" i="48"/>
  <c r="J77" i="48"/>
  <c r="I79" i="48"/>
  <c r="H79" i="48"/>
  <c r="N78" i="48"/>
  <c r="M78" i="48"/>
  <c r="L78" i="48"/>
  <c r="L77" i="48"/>
  <c r="I78" i="48"/>
  <c r="H78" i="48"/>
  <c r="N76" i="48"/>
  <c r="M76" i="48"/>
  <c r="L76" i="48"/>
  <c r="K76" i="48"/>
  <c r="J76" i="48"/>
  <c r="I76" i="48"/>
  <c r="H76" i="48"/>
  <c r="O76" i="48"/>
  <c r="N75" i="48"/>
  <c r="M75" i="48"/>
  <c r="L75" i="48"/>
  <c r="K75" i="48"/>
  <c r="J75" i="48"/>
  <c r="I75" i="48"/>
  <c r="O75" i="48"/>
  <c r="H75" i="48"/>
  <c r="N74" i="48"/>
  <c r="M74" i="48"/>
  <c r="L74" i="48"/>
  <c r="K74" i="48"/>
  <c r="J74" i="48"/>
  <c r="I74" i="48"/>
  <c r="H74" i="48"/>
  <c r="N73" i="48"/>
  <c r="M73" i="48"/>
  <c r="L73" i="48"/>
  <c r="K73" i="48"/>
  <c r="J73" i="48"/>
  <c r="I73" i="48"/>
  <c r="H73" i="48"/>
  <c r="N72" i="48"/>
  <c r="M72" i="48"/>
  <c r="L72" i="48"/>
  <c r="K72" i="48"/>
  <c r="J72" i="48"/>
  <c r="I72" i="48"/>
  <c r="H72" i="48"/>
  <c r="N69" i="48"/>
  <c r="M69" i="48"/>
  <c r="L69" i="48"/>
  <c r="K69" i="48"/>
  <c r="J69" i="48"/>
  <c r="I69" i="48"/>
  <c r="O69" i="48"/>
  <c r="H69" i="48"/>
  <c r="N68" i="48"/>
  <c r="M68" i="48"/>
  <c r="L68" i="48"/>
  <c r="K68" i="48"/>
  <c r="J68" i="48"/>
  <c r="I68" i="48"/>
  <c r="H68" i="48"/>
  <c r="N67" i="48"/>
  <c r="M67" i="48"/>
  <c r="L67" i="48"/>
  <c r="K67" i="48"/>
  <c r="J67" i="48"/>
  <c r="I67" i="48"/>
  <c r="H67" i="48"/>
  <c r="N66" i="48"/>
  <c r="M66" i="48"/>
  <c r="L66" i="48"/>
  <c r="K66" i="48"/>
  <c r="J66" i="48"/>
  <c r="I66" i="48"/>
  <c r="H66" i="48"/>
  <c r="O66" i="48"/>
  <c r="N65" i="48"/>
  <c r="M65" i="48"/>
  <c r="L65" i="48"/>
  <c r="K65" i="48"/>
  <c r="J65" i="48"/>
  <c r="H65" i="48"/>
  <c r="I65" i="48"/>
  <c r="O65" i="48"/>
  <c r="N64" i="48"/>
  <c r="N63" i="48"/>
  <c r="M64" i="48"/>
  <c r="L64" i="48"/>
  <c r="K64" i="48"/>
  <c r="J64" i="48"/>
  <c r="J63" i="48"/>
  <c r="I64" i="48"/>
  <c r="H64" i="48"/>
  <c r="N62" i="48"/>
  <c r="M62" i="48"/>
  <c r="L62" i="48"/>
  <c r="K62" i="48"/>
  <c r="J62" i="48"/>
  <c r="I62" i="48"/>
  <c r="O62" i="48"/>
  <c r="H62" i="48"/>
  <c r="N61" i="48"/>
  <c r="M61" i="48"/>
  <c r="L61" i="48"/>
  <c r="K61" i="48"/>
  <c r="J61" i="48"/>
  <c r="I61" i="48"/>
  <c r="O61" i="48"/>
  <c r="H61" i="48"/>
  <c r="N60" i="48"/>
  <c r="M60" i="48"/>
  <c r="L60" i="48"/>
  <c r="K60" i="48"/>
  <c r="J60" i="48"/>
  <c r="I60" i="48"/>
  <c r="O60" i="48"/>
  <c r="H60" i="48"/>
  <c r="N59" i="48"/>
  <c r="M59" i="48"/>
  <c r="L59" i="48"/>
  <c r="K59" i="48"/>
  <c r="J59" i="48"/>
  <c r="I59" i="48"/>
  <c r="H59" i="48"/>
  <c r="N58" i="48"/>
  <c r="M58" i="48"/>
  <c r="L58" i="48"/>
  <c r="K58" i="48"/>
  <c r="J58" i="48"/>
  <c r="I58" i="48"/>
  <c r="H58" i="48"/>
  <c r="N57" i="48"/>
  <c r="M57" i="48"/>
  <c r="L57" i="48"/>
  <c r="K57" i="48"/>
  <c r="J57" i="48"/>
  <c r="I57" i="48"/>
  <c r="H57" i="48"/>
  <c r="H56" i="48"/>
  <c r="N55" i="48"/>
  <c r="M55" i="48"/>
  <c r="L55" i="48"/>
  <c r="K55" i="48"/>
  <c r="J55" i="48"/>
  <c r="I55" i="48"/>
  <c r="O55" i="48"/>
  <c r="H55" i="48"/>
  <c r="N54" i="48"/>
  <c r="M54" i="48"/>
  <c r="L54" i="48"/>
  <c r="K54" i="48"/>
  <c r="J54" i="48"/>
  <c r="I54" i="48"/>
  <c r="H54" i="48"/>
  <c r="N53" i="48"/>
  <c r="M53" i="48"/>
  <c r="L53" i="48"/>
  <c r="K53" i="48"/>
  <c r="J53" i="48"/>
  <c r="I53" i="48"/>
  <c r="O53" i="48"/>
  <c r="H53" i="48"/>
  <c r="N52" i="48"/>
  <c r="M52" i="48"/>
  <c r="L52" i="48"/>
  <c r="K52" i="48"/>
  <c r="J52" i="48"/>
  <c r="I52" i="48"/>
  <c r="H52" i="48"/>
  <c r="O52" i="48"/>
  <c r="N51" i="48"/>
  <c r="M51" i="48"/>
  <c r="L51" i="48"/>
  <c r="K51" i="48"/>
  <c r="J51" i="48"/>
  <c r="H51" i="48"/>
  <c r="I51" i="48"/>
  <c r="O51" i="48"/>
  <c r="N50" i="48"/>
  <c r="M50" i="48"/>
  <c r="L50" i="48"/>
  <c r="K50" i="48"/>
  <c r="J50" i="48"/>
  <c r="I50" i="48"/>
  <c r="H50" i="48"/>
  <c r="N49" i="48"/>
  <c r="M49" i="48"/>
  <c r="L49" i="48"/>
  <c r="K49" i="48"/>
  <c r="J49" i="48"/>
  <c r="I49" i="48"/>
  <c r="H49" i="48"/>
  <c r="N48" i="48"/>
  <c r="M48" i="48"/>
  <c r="L48" i="48"/>
  <c r="K48" i="48"/>
  <c r="J48" i="48"/>
  <c r="I48" i="48"/>
  <c r="H48" i="48"/>
  <c r="H47" i="48"/>
  <c r="N46" i="48"/>
  <c r="N45" i="48"/>
  <c r="M46" i="48"/>
  <c r="L46" i="48"/>
  <c r="L45" i="48"/>
  <c r="K46" i="48"/>
  <c r="K45" i="48"/>
  <c r="J46" i="48"/>
  <c r="J45" i="48"/>
  <c r="I46" i="48"/>
  <c r="H46" i="48"/>
  <c r="N44" i="48"/>
  <c r="M44" i="48"/>
  <c r="L44" i="48"/>
  <c r="K44" i="48"/>
  <c r="J44" i="48"/>
  <c r="I44" i="48"/>
  <c r="H44" i="48"/>
  <c r="N43" i="48"/>
  <c r="M43" i="48"/>
  <c r="L43" i="48"/>
  <c r="K43" i="48"/>
  <c r="J43" i="48"/>
  <c r="I43" i="48"/>
  <c r="H43" i="48"/>
  <c r="N42" i="48"/>
  <c r="M42" i="48"/>
  <c r="L42" i="48"/>
  <c r="K42" i="48"/>
  <c r="J42" i="48"/>
  <c r="I42" i="48"/>
  <c r="H42" i="48"/>
  <c r="O42" i="48"/>
  <c r="N41" i="48"/>
  <c r="M41" i="48"/>
  <c r="L41" i="48"/>
  <c r="K41" i="48"/>
  <c r="J41" i="48"/>
  <c r="H41" i="48"/>
  <c r="I41" i="48"/>
  <c r="O41" i="48"/>
  <c r="N40" i="48"/>
  <c r="M40" i="48"/>
  <c r="L40" i="48"/>
  <c r="K40" i="48"/>
  <c r="J40" i="48"/>
  <c r="I40" i="48"/>
  <c r="H40" i="48"/>
  <c r="N39" i="48"/>
  <c r="M39" i="48"/>
  <c r="L39" i="48"/>
  <c r="K39" i="48"/>
  <c r="J39" i="48"/>
  <c r="I39" i="48"/>
  <c r="H39" i="48"/>
  <c r="N38" i="48"/>
  <c r="M38" i="48"/>
  <c r="L38" i="48"/>
  <c r="L37" i="48"/>
  <c r="K38" i="48"/>
  <c r="J38" i="48"/>
  <c r="I38" i="48"/>
  <c r="H38" i="48"/>
  <c r="H37" i="48"/>
  <c r="N35" i="48"/>
  <c r="M35" i="48"/>
  <c r="L35" i="48"/>
  <c r="K35" i="48"/>
  <c r="J35" i="48"/>
  <c r="H35" i="48"/>
  <c r="I35" i="48"/>
  <c r="O35" i="48"/>
  <c r="N34" i="48"/>
  <c r="M34" i="48"/>
  <c r="L34" i="48"/>
  <c r="K34" i="48"/>
  <c r="J34" i="48"/>
  <c r="I34" i="48"/>
  <c r="H34" i="48"/>
  <c r="N33" i="48"/>
  <c r="M33" i="48"/>
  <c r="M32" i="48"/>
  <c r="L33" i="48"/>
  <c r="K33" i="48"/>
  <c r="J33" i="48"/>
  <c r="I33" i="48"/>
  <c r="I32" i="48"/>
  <c r="H33" i="48"/>
  <c r="N31" i="48"/>
  <c r="M31" i="48"/>
  <c r="M30" i="48"/>
  <c r="M29" i="48"/>
  <c r="L31" i="48"/>
  <c r="K31" i="48"/>
  <c r="J31" i="48"/>
  <c r="I31" i="48"/>
  <c r="H31" i="48"/>
  <c r="O31" i="48"/>
  <c r="N30" i="48"/>
  <c r="N29" i="48"/>
  <c r="L30" i="48"/>
  <c r="K30" i="48"/>
  <c r="J30" i="48"/>
  <c r="J29" i="48"/>
  <c r="I30" i="48"/>
  <c r="H30" i="48"/>
  <c r="N25" i="48"/>
  <c r="M25" i="48"/>
  <c r="L25" i="48"/>
  <c r="K25" i="48"/>
  <c r="J25" i="48"/>
  <c r="I25" i="48"/>
  <c r="H25" i="48"/>
  <c r="N24" i="48"/>
  <c r="M24" i="48"/>
  <c r="L24" i="48"/>
  <c r="K24" i="48"/>
  <c r="J24" i="48"/>
  <c r="I24" i="48"/>
  <c r="H24" i="48"/>
  <c r="N23" i="48"/>
  <c r="M23" i="48"/>
  <c r="L23" i="48"/>
  <c r="K23" i="48"/>
  <c r="J23" i="48"/>
  <c r="I23" i="48"/>
  <c r="H23" i="48"/>
  <c r="O23" i="48"/>
  <c r="N22" i="48"/>
  <c r="M22" i="48"/>
  <c r="L22" i="48"/>
  <c r="K22" i="48"/>
  <c r="J22" i="48"/>
  <c r="H22" i="48"/>
  <c r="I22" i="48"/>
  <c r="O22" i="48"/>
  <c r="N21" i="48"/>
  <c r="M21" i="48"/>
  <c r="L21" i="48"/>
  <c r="K21" i="48"/>
  <c r="J21" i="48"/>
  <c r="I21" i="48"/>
  <c r="H21" i="48"/>
  <c r="N20" i="48"/>
  <c r="M20" i="48"/>
  <c r="L20" i="48"/>
  <c r="K20" i="48"/>
  <c r="J20" i="48"/>
  <c r="I20" i="48"/>
  <c r="I18" i="48"/>
  <c r="I19" i="48"/>
  <c r="I17" i="48"/>
  <c r="H20" i="48"/>
  <c r="N19" i="48"/>
  <c r="M19" i="48"/>
  <c r="M18" i="48"/>
  <c r="M17" i="48"/>
  <c r="L19" i="48"/>
  <c r="K19" i="48"/>
  <c r="J19" i="48"/>
  <c r="H19" i="48"/>
  <c r="O19" i="48"/>
  <c r="N18" i="48"/>
  <c r="L18" i="48"/>
  <c r="K18" i="48"/>
  <c r="J18" i="48"/>
  <c r="H18" i="48"/>
  <c r="N14" i="48"/>
  <c r="M14" i="48"/>
  <c r="L14" i="48"/>
  <c r="K14" i="48"/>
  <c r="J14" i="48"/>
  <c r="I14" i="48"/>
  <c r="H14" i="48"/>
  <c r="N13" i="48"/>
  <c r="M13" i="48"/>
  <c r="L13" i="48"/>
  <c r="K13" i="48"/>
  <c r="J13" i="48"/>
  <c r="I13" i="48"/>
  <c r="H13" i="48"/>
  <c r="N12" i="48"/>
  <c r="M12" i="48"/>
  <c r="L12" i="48"/>
  <c r="K12" i="48"/>
  <c r="J12" i="48"/>
  <c r="I12" i="48"/>
  <c r="H12" i="48"/>
  <c r="N11" i="48"/>
  <c r="M11" i="48"/>
  <c r="L11" i="48"/>
  <c r="K11" i="48"/>
  <c r="J11" i="48"/>
  <c r="H11" i="48"/>
  <c r="I11" i="48"/>
  <c r="O11" i="48"/>
  <c r="N10" i="48"/>
  <c r="N9" i="48"/>
  <c r="N8" i="48"/>
  <c r="M10" i="48"/>
  <c r="L10" i="48"/>
  <c r="K10" i="48"/>
  <c r="J10" i="48"/>
  <c r="I10" i="48"/>
  <c r="H10" i="48"/>
  <c r="O215" i="48"/>
  <c r="O207" i="48"/>
  <c r="O187" i="48"/>
  <c r="O184" i="48"/>
  <c r="O182" i="48"/>
  <c r="O180" i="48"/>
  <c r="O179" i="48"/>
  <c r="O176" i="48"/>
  <c r="J169" i="48"/>
  <c r="O174" i="48"/>
  <c r="O165" i="48"/>
  <c r="O164" i="48"/>
  <c r="O163" i="48"/>
  <c r="O162" i="48"/>
  <c r="O161" i="48"/>
  <c r="I160" i="48"/>
  <c r="O160" i="48"/>
  <c r="O159" i="48"/>
  <c r="I158" i="48"/>
  <c r="O157" i="48"/>
  <c r="O156" i="48"/>
  <c r="N155" i="48"/>
  <c r="M155" i="48"/>
  <c r="L155" i="48"/>
  <c r="K155" i="48"/>
  <c r="J155" i="48"/>
  <c r="H155" i="48"/>
  <c r="N154" i="48"/>
  <c r="M154" i="48"/>
  <c r="L154" i="48"/>
  <c r="K154" i="48"/>
  <c r="J154" i="48"/>
  <c r="H154" i="48"/>
  <c r="N150" i="48"/>
  <c r="I150" i="48"/>
  <c r="M145" i="48"/>
  <c r="I145" i="48"/>
  <c r="O139" i="48"/>
  <c r="N116" i="48"/>
  <c r="L116" i="48"/>
  <c r="K116" i="48"/>
  <c r="J116" i="48"/>
  <c r="H116" i="48"/>
  <c r="O115" i="48"/>
  <c r="O114" i="48"/>
  <c r="M108" i="48"/>
  <c r="I108" i="48"/>
  <c r="I107" i="48"/>
  <c r="N103" i="48"/>
  <c r="M103" i="48"/>
  <c r="J103" i="48"/>
  <c r="H103" i="48"/>
  <c r="J94" i="48"/>
  <c r="M90" i="48"/>
  <c r="O82" i="48"/>
  <c r="I80" i="48"/>
  <c r="L71" i="48"/>
  <c r="O67" i="48"/>
  <c r="O57" i="48"/>
  <c r="L56" i="48"/>
  <c r="L47" i="48"/>
  <c r="M45" i="48"/>
  <c r="I45" i="48"/>
  <c r="H45" i="48"/>
  <c r="O38" i="48"/>
  <c r="I29" i="48"/>
  <c r="H29" i="48"/>
  <c r="O12" i="48"/>
  <c r="J9" i="48"/>
  <c r="J8" i="48"/>
  <c r="N220" i="47"/>
  <c r="M220" i="47"/>
  <c r="L220" i="47"/>
  <c r="K220" i="47"/>
  <c r="J220" i="47"/>
  <c r="I220" i="47"/>
  <c r="H220" i="47"/>
  <c r="N218" i="47"/>
  <c r="M218" i="47"/>
  <c r="L218" i="47"/>
  <c r="K218" i="47"/>
  <c r="J218" i="47"/>
  <c r="I218" i="47"/>
  <c r="H218" i="47"/>
  <c r="O218" i="47"/>
  <c r="N215" i="47"/>
  <c r="M215" i="47"/>
  <c r="L215" i="47"/>
  <c r="K215" i="47"/>
  <c r="J215" i="47"/>
  <c r="I215" i="47"/>
  <c r="H215" i="47"/>
  <c r="N213" i="47"/>
  <c r="M213" i="47"/>
  <c r="L213" i="47"/>
  <c r="K213" i="47"/>
  <c r="J213" i="47"/>
  <c r="I213" i="47"/>
  <c r="H213" i="47"/>
  <c r="O213" i="47"/>
  <c r="N209" i="47"/>
  <c r="M209" i="47"/>
  <c r="L209" i="47"/>
  <c r="K209" i="47"/>
  <c r="J209" i="47"/>
  <c r="I209" i="47"/>
  <c r="H209" i="47"/>
  <c r="N207" i="47"/>
  <c r="M207" i="47"/>
  <c r="L207" i="47"/>
  <c r="K207" i="47"/>
  <c r="J207" i="47"/>
  <c r="I207" i="47"/>
  <c r="H207" i="47"/>
  <c r="N203" i="47"/>
  <c r="M203" i="47"/>
  <c r="L203" i="47"/>
  <c r="K203" i="47"/>
  <c r="J203" i="47"/>
  <c r="I203" i="47"/>
  <c r="H203" i="47"/>
  <c r="N201" i="47"/>
  <c r="M201" i="47"/>
  <c r="L201" i="47"/>
  <c r="K201" i="47"/>
  <c r="J201" i="47"/>
  <c r="H201" i="47"/>
  <c r="I201" i="47"/>
  <c r="O201" i="47"/>
  <c r="N198" i="47"/>
  <c r="M198" i="47"/>
  <c r="M191" i="47"/>
  <c r="M193" i="47"/>
  <c r="M196" i="47"/>
  <c r="M188" i="47"/>
  <c r="L198" i="47"/>
  <c r="K198" i="47"/>
  <c r="J198" i="47"/>
  <c r="I198" i="47"/>
  <c r="H198" i="47"/>
  <c r="O198" i="47"/>
  <c r="N196" i="47"/>
  <c r="L196" i="47"/>
  <c r="K196" i="47"/>
  <c r="J196" i="47"/>
  <c r="I196" i="47"/>
  <c r="H196" i="47"/>
  <c r="O196" i="47"/>
  <c r="N193" i="47"/>
  <c r="L193" i="47"/>
  <c r="K193" i="47"/>
  <c r="J193" i="47"/>
  <c r="I193" i="47"/>
  <c r="H193" i="47"/>
  <c r="N191" i="47"/>
  <c r="N188" i="47"/>
  <c r="L191" i="47"/>
  <c r="K191" i="47"/>
  <c r="J191" i="47"/>
  <c r="J188" i="47"/>
  <c r="I191" i="47"/>
  <c r="H191" i="47"/>
  <c r="N186" i="47"/>
  <c r="M186" i="47"/>
  <c r="L186" i="47"/>
  <c r="K186" i="47"/>
  <c r="J186" i="47"/>
  <c r="I186" i="47"/>
  <c r="H186" i="47"/>
  <c r="O186" i="47"/>
  <c r="N185" i="47"/>
  <c r="M185" i="47"/>
  <c r="L185" i="47"/>
  <c r="K185" i="47"/>
  <c r="J185" i="47"/>
  <c r="I185" i="47"/>
  <c r="H185" i="47"/>
  <c r="O185" i="47"/>
  <c r="N183" i="47"/>
  <c r="M183" i="47"/>
  <c r="L183" i="47"/>
  <c r="K183" i="47"/>
  <c r="J183" i="47"/>
  <c r="I183" i="47"/>
  <c r="H183" i="47"/>
  <c r="N181" i="47"/>
  <c r="M181" i="47"/>
  <c r="L181" i="47"/>
  <c r="K181" i="47"/>
  <c r="J181" i="47"/>
  <c r="H181" i="47"/>
  <c r="I181" i="47"/>
  <c r="O181" i="47"/>
  <c r="N178" i="47"/>
  <c r="M178" i="47"/>
  <c r="L178" i="47"/>
  <c r="K178" i="47"/>
  <c r="J178" i="47"/>
  <c r="I178" i="47"/>
  <c r="H178" i="47"/>
  <c r="O178" i="47"/>
  <c r="N177" i="47"/>
  <c r="M177" i="47"/>
  <c r="L177" i="47"/>
  <c r="K177" i="47"/>
  <c r="J177" i="47"/>
  <c r="I177" i="47"/>
  <c r="H177" i="47"/>
  <c r="N175" i="47"/>
  <c r="M175" i="47"/>
  <c r="L175" i="47"/>
  <c r="K175" i="47"/>
  <c r="J175" i="47"/>
  <c r="I175" i="47"/>
  <c r="H175" i="47"/>
  <c r="N173" i="47"/>
  <c r="M173" i="47"/>
  <c r="L173" i="47"/>
  <c r="K173" i="47"/>
  <c r="J173" i="47"/>
  <c r="I173" i="47"/>
  <c r="H173" i="47"/>
  <c r="N172" i="47"/>
  <c r="M172" i="47"/>
  <c r="M171" i="47"/>
  <c r="M169" i="47"/>
  <c r="L172" i="47"/>
  <c r="K172" i="47"/>
  <c r="J172" i="47"/>
  <c r="I172" i="47"/>
  <c r="H172" i="47"/>
  <c r="O172" i="47"/>
  <c r="N171" i="47"/>
  <c r="L171" i="47"/>
  <c r="L169" i="47"/>
  <c r="K171" i="47"/>
  <c r="J171" i="47"/>
  <c r="I171" i="47"/>
  <c r="H171" i="47"/>
  <c r="O171" i="47"/>
  <c r="N152" i="47"/>
  <c r="M152" i="47"/>
  <c r="L152" i="47"/>
  <c r="K152" i="47"/>
  <c r="J152" i="47"/>
  <c r="I152" i="47"/>
  <c r="I151" i="47"/>
  <c r="I150" i="47"/>
  <c r="H152" i="47"/>
  <c r="N151" i="47"/>
  <c r="N150" i="47"/>
  <c r="M151" i="47"/>
  <c r="L151" i="47"/>
  <c r="L150" i="47"/>
  <c r="K151" i="47"/>
  <c r="J151" i="47"/>
  <c r="J150" i="47"/>
  <c r="H151" i="47"/>
  <c r="H150" i="47"/>
  <c r="M145" i="47"/>
  <c r="I145" i="47"/>
  <c r="N145" i="47"/>
  <c r="K145" i="47"/>
  <c r="J145" i="47"/>
  <c r="N144" i="47"/>
  <c r="M144" i="47"/>
  <c r="L144" i="47"/>
  <c r="K144" i="47"/>
  <c r="J144" i="47"/>
  <c r="I144" i="47"/>
  <c r="O144" i="47"/>
  <c r="H144" i="47"/>
  <c r="N143" i="47"/>
  <c r="M143" i="47"/>
  <c r="L143" i="47"/>
  <c r="K143" i="47"/>
  <c r="J143" i="47"/>
  <c r="I143" i="47"/>
  <c r="H143" i="47"/>
  <c r="N142" i="47"/>
  <c r="M142" i="47"/>
  <c r="L142" i="47"/>
  <c r="K142" i="47"/>
  <c r="J142" i="47"/>
  <c r="I142" i="47"/>
  <c r="H142" i="47"/>
  <c r="O142" i="47"/>
  <c r="N141" i="47"/>
  <c r="M141" i="47"/>
  <c r="L141" i="47"/>
  <c r="K141" i="47"/>
  <c r="K139" i="47"/>
  <c r="K140" i="47"/>
  <c r="K138" i="47"/>
  <c r="J141" i="47"/>
  <c r="I141" i="47"/>
  <c r="H141" i="47"/>
  <c r="O141" i="47"/>
  <c r="N140" i="47"/>
  <c r="N139" i="47"/>
  <c r="N138" i="47"/>
  <c r="M140" i="47"/>
  <c r="L140" i="47"/>
  <c r="J140" i="47"/>
  <c r="I140" i="47"/>
  <c r="O140" i="47"/>
  <c r="H140" i="47"/>
  <c r="M139" i="47"/>
  <c r="L139" i="47"/>
  <c r="J139" i="47"/>
  <c r="I139" i="47"/>
  <c r="O139" i="47"/>
  <c r="H139" i="47"/>
  <c r="N137" i="47"/>
  <c r="M137" i="47"/>
  <c r="L137" i="47"/>
  <c r="K137" i="47"/>
  <c r="J137" i="47"/>
  <c r="I137" i="47"/>
  <c r="H137" i="47"/>
  <c r="O137" i="47"/>
  <c r="N136" i="47"/>
  <c r="M136" i="47"/>
  <c r="L136" i="47"/>
  <c r="K136" i="47"/>
  <c r="J136" i="47"/>
  <c r="I136" i="47"/>
  <c r="H136" i="47"/>
  <c r="O136" i="47"/>
  <c r="N135" i="47"/>
  <c r="N133" i="47"/>
  <c r="N134" i="47"/>
  <c r="N132" i="47"/>
  <c r="M135" i="47"/>
  <c r="L135" i="47"/>
  <c r="K135" i="47"/>
  <c r="J135" i="47"/>
  <c r="H135" i="47"/>
  <c r="I135" i="47"/>
  <c r="O135" i="47"/>
  <c r="M134" i="47"/>
  <c r="M133" i="47"/>
  <c r="M132" i="47"/>
  <c r="L134" i="47"/>
  <c r="K134" i="47"/>
  <c r="J134" i="47"/>
  <c r="I134" i="47"/>
  <c r="I133" i="47"/>
  <c r="I132" i="47"/>
  <c r="H134" i="47"/>
  <c r="L133" i="47"/>
  <c r="L132" i="47"/>
  <c r="K133" i="47"/>
  <c r="J133" i="47"/>
  <c r="H133" i="47"/>
  <c r="N129" i="47"/>
  <c r="M129" i="47"/>
  <c r="L129" i="47"/>
  <c r="K129" i="47"/>
  <c r="K127" i="47"/>
  <c r="K128" i="47"/>
  <c r="K126" i="47"/>
  <c r="K125" i="47"/>
  <c r="J129" i="47"/>
  <c r="I129" i="47"/>
  <c r="H129" i="47"/>
  <c r="N128" i="47"/>
  <c r="N127" i="47"/>
  <c r="N126" i="47"/>
  <c r="N125" i="47"/>
  <c r="M128" i="47"/>
  <c r="L128" i="47"/>
  <c r="J128" i="47"/>
  <c r="H128" i="47"/>
  <c r="I128" i="47"/>
  <c r="O128" i="47"/>
  <c r="M127" i="47"/>
  <c r="M126" i="47"/>
  <c r="M125" i="47"/>
  <c r="L127" i="47"/>
  <c r="J127" i="47"/>
  <c r="I127" i="47"/>
  <c r="I126" i="47"/>
  <c r="I125" i="47"/>
  <c r="H127" i="47"/>
  <c r="N121" i="47"/>
  <c r="N120" i="47"/>
  <c r="N119" i="47"/>
  <c r="M121" i="47"/>
  <c r="L121" i="47"/>
  <c r="K121" i="47"/>
  <c r="M120" i="47"/>
  <c r="M119" i="47"/>
  <c r="L120" i="47"/>
  <c r="K120" i="47"/>
  <c r="I119" i="47"/>
  <c r="N117" i="47"/>
  <c r="M117" i="47"/>
  <c r="L117" i="47"/>
  <c r="L116" i="47"/>
  <c r="K117" i="47"/>
  <c r="K116" i="47"/>
  <c r="J117" i="47"/>
  <c r="J116" i="47"/>
  <c r="I117" i="47"/>
  <c r="H117" i="47"/>
  <c r="H116" i="47"/>
  <c r="N115" i="47"/>
  <c r="M115" i="47"/>
  <c r="M114" i="47"/>
  <c r="L115" i="47"/>
  <c r="K115" i="47"/>
  <c r="K114" i="47"/>
  <c r="J115" i="47"/>
  <c r="I115" i="47"/>
  <c r="I114" i="47"/>
  <c r="H115" i="47"/>
  <c r="N113" i="47"/>
  <c r="M113" i="47"/>
  <c r="L113" i="47"/>
  <c r="K113" i="47"/>
  <c r="J113" i="47"/>
  <c r="I113" i="47"/>
  <c r="H113" i="47"/>
  <c r="N112" i="47"/>
  <c r="M112" i="47"/>
  <c r="L112" i="47"/>
  <c r="K112" i="47"/>
  <c r="J112" i="47"/>
  <c r="I112" i="47"/>
  <c r="O112" i="47"/>
  <c r="H112" i="47"/>
  <c r="N111" i="47"/>
  <c r="M111" i="47"/>
  <c r="L111" i="47"/>
  <c r="L109" i="47"/>
  <c r="L110" i="47"/>
  <c r="L108" i="47"/>
  <c r="L114" i="47"/>
  <c r="L107" i="47"/>
  <c r="K111" i="47"/>
  <c r="J111" i="47"/>
  <c r="I111" i="47"/>
  <c r="H111" i="47"/>
  <c r="H109" i="47"/>
  <c r="H110" i="47"/>
  <c r="H108" i="47"/>
  <c r="N110" i="47"/>
  <c r="M110" i="47"/>
  <c r="K110" i="47"/>
  <c r="K109" i="47"/>
  <c r="K108" i="47"/>
  <c r="J110" i="47"/>
  <c r="I110" i="47"/>
  <c r="N109" i="47"/>
  <c r="N108" i="47"/>
  <c r="N114" i="47"/>
  <c r="N107" i="47"/>
  <c r="M109" i="47"/>
  <c r="J109" i="47"/>
  <c r="J108" i="47"/>
  <c r="I109" i="47"/>
  <c r="N104" i="47"/>
  <c r="M104" i="47"/>
  <c r="L104" i="47"/>
  <c r="L103" i="47"/>
  <c r="K104" i="47"/>
  <c r="K103" i="47"/>
  <c r="J103" i="47"/>
  <c r="H103" i="47"/>
  <c r="N100" i="47"/>
  <c r="M100" i="47"/>
  <c r="L100" i="47"/>
  <c r="K100" i="47"/>
  <c r="J100" i="47"/>
  <c r="I100" i="47"/>
  <c r="H100" i="47"/>
  <c r="N99" i="47"/>
  <c r="M99" i="47"/>
  <c r="L99" i="47"/>
  <c r="K99" i="47"/>
  <c r="J99" i="47"/>
  <c r="H99" i="47"/>
  <c r="I99" i="47"/>
  <c r="O99" i="47"/>
  <c r="N98" i="47"/>
  <c r="M98" i="47"/>
  <c r="L98" i="47"/>
  <c r="K98" i="47"/>
  <c r="J98" i="47"/>
  <c r="I98" i="47"/>
  <c r="H98" i="47"/>
  <c r="N97" i="47"/>
  <c r="M97" i="47"/>
  <c r="L97" i="47"/>
  <c r="L95" i="47"/>
  <c r="L96" i="47"/>
  <c r="L94" i="47"/>
  <c r="K97" i="47"/>
  <c r="J97" i="47"/>
  <c r="I97" i="47"/>
  <c r="H97" i="47"/>
  <c r="O97" i="47"/>
  <c r="N96" i="47"/>
  <c r="M96" i="47"/>
  <c r="M95" i="47"/>
  <c r="M94" i="47"/>
  <c r="K96" i="47"/>
  <c r="K95" i="47"/>
  <c r="K94" i="47"/>
  <c r="J96" i="47"/>
  <c r="I96" i="47"/>
  <c r="H96" i="47"/>
  <c r="O96" i="47"/>
  <c r="N95" i="47"/>
  <c r="N94" i="47"/>
  <c r="J95" i="47"/>
  <c r="J94" i="47"/>
  <c r="I95" i="47"/>
  <c r="H95" i="47"/>
  <c r="N93" i="47"/>
  <c r="M93" i="47"/>
  <c r="M91" i="47"/>
  <c r="M92" i="47"/>
  <c r="M90" i="47"/>
  <c r="L93" i="47"/>
  <c r="K93" i="47"/>
  <c r="J93" i="47"/>
  <c r="I93" i="47"/>
  <c r="I91" i="47"/>
  <c r="I92" i="47"/>
  <c r="I90" i="47"/>
  <c r="H93" i="47"/>
  <c r="N92" i="47"/>
  <c r="L92" i="47"/>
  <c r="L91" i="47"/>
  <c r="L90" i="47"/>
  <c r="K92" i="47"/>
  <c r="J92" i="47"/>
  <c r="H92" i="47"/>
  <c r="N91" i="47"/>
  <c r="K91" i="47"/>
  <c r="K90" i="47"/>
  <c r="J91" i="47"/>
  <c r="H91" i="47"/>
  <c r="N89" i="47"/>
  <c r="N87" i="47"/>
  <c r="N88" i="47"/>
  <c r="N86" i="47"/>
  <c r="M89" i="47"/>
  <c r="L89" i="47"/>
  <c r="K89" i="47"/>
  <c r="J89" i="47"/>
  <c r="I89" i="47"/>
  <c r="O89" i="47"/>
  <c r="H89" i="47"/>
  <c r="M88" i="47"/>
  <c r="M87" i="47"/>
  <c r="M86" i="47"/>
  <c r="L88" i="47"/>
  <c r="K88" i="47"/>
  <c r="J88" i="47"/>
  <c r="I88" i="47"/>
  <c r="I87" i="47"/>
  <c r="I86" i="47"/>
  <c r="H88" i="47"/>
  <c r="L87" i="47"/>
  <c r="L86" i="47"/>
  <c r="K87" i="47"/>
  <c r="J87" i="47"/>
  <c r="H87" i="47"/>
  <c r="O87" i="47"/>
  <c r="N85" i="47"/>
  <c r="M85" i="47"/>
  <c r="L85" i="47"/>
  <c r="K85" i="47"/>
  <c r="J85" i="47"/>
  <c r="I85" i="47"/>
  <c r="H85" i="47"/>
  <c r="N84" i="47"/>
  <c r="M84" i="47"/>
  <c r="L84" i="47"/>
  <c r="K84" i="47"/>
  <c r="J84" i="47"/>
  <c r="I84" i="47"/>
  <c r="O84" i="47"/>
  <c r="H84" i="47"/>
  <c r="N83" i="47"/>
  <c r="M83" i="47"/>
  <c r="M81" i="47"/>
  <c r="M82" i="47"/>
  <c r="M80" i="47"/>
  <c r="L83" i="47"/>
  <c r="K83" i="47"/>
  <c r="J83" i="47"/>
  <c r="I83" i="47"/>
  <c r="I81" i="47"/>
  <c r="I82" i="47"/>
  <c r="I80" i="47"/>
  <c r="H83" i="47"/>
  <c r="N82" i="47"/>
  <c r="L82" i="47"/>
  <c r="K82" i="47"/>
  <c r="J82" i="47"/>
  <c r="H82" i="47"/>
  <c r="O82" i="47"/>
  <c r="N81" i="47"/>
  <c r="L81" i="47"/>
  <c r="K81" i="47"/>
  <c r="K80" i="47"/>
  <c r="J81" i="47"/>
  <c r="H81" i="47"/>
  <c r="O81" i="47"/>
  <c r="N79" i="47"/>
  <c r="M79" i="47"/>
  <c r="L79" i="47"/>
  <c r="K79" i="47"/>
  <c r="J79" i="47"/>
  <c r="I79" i="47"/>
  <c r="H79" i="47"/>
  <c r="N78" i="47"/>
  <c r="M78" i="47"/>
  <c r="M77" i="47"/>
  <c r="L78" i="47"/>
  <c r="K78" i="47"/>
  <c r="K77" i="47"/>
  <c r="J78" i="47"/>
  <c r="I78" i="47"/>
  <c r="I77" i="47"/>
  <c r="H78" i="47"/>
  <c r="N76" i="47"/>
  <c r="M76" i="47"/>
  <c r="L76" i="47"/>
  <c r="K76" i="47"/>
  <c r="J76" i="47"/>
  <c r="I76" i="47"/>
  <c r="H76" i="47"/>
  <c r="O76" i="47"/>
  <c r="N75" i="47"/>
  <c r="M75" i="47"/>
  <c r="L75" i="47"/>
  <c r="K75" i="47"/>
  <c r="K72" i="47"/>
  <c r="K73" i="47"/>
  <c r="K74" i="47"/>
  <c r="K71" i="47"/>
  <c r="J75" i="47"/>
  <c r="I75" i="47"/>
  <c r="H75" i="47"/>
  <c r="N74" i="47"/>
  <c r="N72" i="47"/>
  <c r="N73" i="47"/>
  <c r="N71" i="47"/>
  <c r="M74" i="47"/>
  <c r="L74" i="47"/>
  <c r="J74" i="47"/>
  <c r="H74" i="47"/>
  <c r="I74" i="47"/>
  <c r="O74" i="47"/>
  <c r="M73" i="47"/>
  <c r="M72" i="47"/>
  <c r="M71" i="47"/>
  <c r="L73" i="47"/>
  <c r="J73" i="47"/>
  <c r="I73" i="47"/>
  <c r="I72" i="47"/>
  <c r="I71" i="47"/>
  <c r="H73" i="47"/>
  <c r="L72" i="47"/>
  <c r="L71" i="47"/>
  <c r="J72" i="47"/>
  <c r="H72" i="47"/>
  <c r="O72" i="47"/>
  <c r="N69" i="47"/>
  <c r="M69" i="47"/>
  <c r="L69" i="47"/>
  <c r="K69" i="47"/>
  <c r="J69" i="47"/>
  <c r="I69" i="47"/>
  <c r="O69" i="47"/>
  <c r="H69" i="47"/>
  <c r="N68" i="47"/>
  <c r="M68" i="47"/>
  <c r="L68" i="47"/>
  <c r="K68" i="47"/>
  <c r="J68" i="47"/>
  <c r="I68" i="47"/>
  <c r="O68" i="47"/>
  <c r="H68" i="47"/>
  <c r="N67" i="47"/>
  <c r="M67" i="47"/>
  <c r="L67" i="47"/>
  <c r="K67" i="47"/>
  <c r="J67" i="47"/>
  <c r="I67" i="47"/>
  <c r="O67" i="47"/>
  <c r="H67" i="47"/>
  <c r="N66" i="47"/>
  <c r="M66" i="47"/>
  <c r="L66" i="47"/>
  <c r="L64" i="47"/>
  <c r="L65" i="47"/>
  <c r="L63" i="47"/>
  <c r="K66" i="47"/>
  <c r="J66" i="47"/>
  <c r="I66" i="47"/>
  <c r="H66" i="47"/>
  <c r="O66" i="47"/>
  <c r="N65" i="47"/>
  <c r="M65" i="47"/>
  <c r="K65" i="47"/>
  <c r="K64" i="47"/>
  <c r="K63" i="47"/>
  <c r="J65" i="47"/>
  <c r="I65" i="47"/>
  <c r="H65" i="47"/>
  <c r="O65" i="47"/>
  <c r="N64" i="47"/>
  <c r="N63" i="47"/>
  <c r="M64" i="47"/>
  <c r="J64" i="47"/>
  <c r="J63" i="47"/>
  <c r="I64" i="47"/>
  <c r="H64" i="47"/>
  <c r="N62" i="47"/>
  <c r="M62" i="47"/>
  <c r="L62" i="47"/>
  <c r="K62" i="47"/>
  <c r="J62" i="47"/>
  <c r="I62" i="47"/>
  <c r="O62" i="47"/>
  <c r="H62" i="47"/>
  <c r="N61" i="47"/>
  <c r="M61" i="47"/>
  <c r="L61" i="47"/>
  <c r="K61" i="47"/>
  <c r="J61" i="47"/>
  <c r="I61" i="47"/>
  <c r="O61" i="47"/>
  <c r="H61" i="47"/>
  <c r="N60" i="47"/>
  <c r="M60" i="47"/>
  <c r="L60" i="47"/>
  <c r="K60" i="47"/>
  <c r="K57" i="47"/>
  <c r="K58" i="47"/>
  <c r="K59" i="47"/>
  <c r="K56" i="47"/>
  <c r="J60" i="47"/>
  <c r="I60" i="47"/>
  <c r="H60" i="47"/>
  <c r="N59" i="47"/>
  <c r="N57" i="47"/>
  <c r="N58" i="47"/>
  <c r="N56" i="47"/>
  <c r="M59" i="47"/>
  <c r="L59" i="47"/>
  <c r="J59" i="47"/>
  <c r="J57" i="47"/>
  <c r="J58" i="47"/>
  <c r="J56" i="47"/>
  <c r="I59" i="47"/>
  <c r="H59" i="47"/>
  <c r="M58" i="47"/>
  <c r="M57" i="47"/>
  <c r="M56" i="47"/>
  <c r="L58" i="47"/>
  <c r="I58" i="47"/>
  <c r="I57" i="47"/>
  <c r="I56" i="47"/>
  <c r="H58" i="47"/>
  <c r="L57" i="47"/>
  <c r="L56" i="47"/>
  <c r="H57" i="47"/>
  <c r="O57" i="47"/>
  <c r="N55" i="47"/>
  <c r="M55" i="47"/>
  <c r="L55" i="47"/>
  <c r="K55" i="47"/>
  <c r="J55" i="47"/>
  <c r="I55" i="47"/>
  <c r="O55" i="47"/>
  <c r="H55" i="47"/>
  <c r="N54" i="47"/>
  <c r="M54" i="47"/>
  <c r="L54" i="47"/>
  <c r="K54" i="47"/>
  <c r="J54" i="47"/>
  <c r="H54" i="47"/>
  <c r="I54" i="47"/>
  <c r="O54" i="47"/>
  <c r="N53" i="47"/>
  <c r="M53" i="47"/>
  <c r="L53" i="47"/>
  <c r="K53" i="47"/>
  <c r="J53" i="47"/>
  <c r="I53" i="47"/>
  <c r="O53" i="47"/>
  <c r="H53" i="47"/>
  <c r="N52" i="47"/>
  <c r="M52" i="47"/>
  <c r="L52" i="47"/>
  <c r="K52" i="47"/>
  <c r="J52" i="47"/>
  <c r="I52" i="47"/>
  <c r="H52" i="47"/>
  <c r="O52" i="47"/>
  <c r="N51" i="47"/>
  <c r="M51" i="47"/>
  <c r="L51" i="47"/>
  <c r="K51" i="47"/>
  <c r="J51" i="47"/>
  <c r="I51" i="47"/>
  <c r="H51" i="47"/>
  <c r="O51" i="47"/>
  <c r="N50" i="47"/>
  <c r="N48" i="47"/>
  <c r="N49" i="47"/>
  <c r="N47" i="47"/>
  <c r="M50" i="47"/>
  <c r="L50" i="47"/>
  <c r="K50" i="47"/>
  <c r="J50" i="47"/>
  <c r="H50" i="47"/>
  <c r="I50" i="47"/>
  <c r="O50" i="47"/>
  <c r="M49" i="47"/>
  <c r="M48" i="47"/>
  <c r="M47" i="47"/>
  <c r="L49" i="47"/>
  <c r="K49" i="47"/>
  <c r="K48" i="47"/>
  <c r="K47" i="47"/>
  <c r="J49" i="47"/>
  <c r="I49" i="47"/>
  <c r="I48" i="47"/>
  <c r="I47" i="47"/>
  <c r="H49" i="47"/>
  <c r="L48" i="47"/>
  <c r="L47" i="47"/>
  <c r="J48" i="47"/>
  <c r="H48" i="47"/>
  <c r="O48" i="47"/>
  <c r="N46" i="47"/>
  <c r="N45" i="47"/>
  <c r="M46" i="47"/>
  <c r="L46" i="47"/>
  <c r="K46" i="47"/>
  <c r="K45" i="47"/>
  <c r="J46" i="47"/>
  <c r="J45" i="47"/>
  <c r="I46" i="47"/>
  <c r="I45" i="47"/>
  <c r="H46" i="47"/>
  <c r="N44" i="47"/>
  <c r="M44" i="47"/>
  <c r="L44" i="47"/>
  <c r="K44" i="47"/>
  <c r="J44" i="47"/>
  <c r="H44" i="47"/>
  <c r="I44" i="47"/>
  <c r="O44" i="47"/>
  <c r="N43" i="47"/>
  <c r="M43" i="47"/>
  <c r="L43" i="47"/>
  <c r="K43" i="47"/>
  <c r="J43" i="47"/>
  <c r="I43" i="47"/>
  <c r="H43" i="47"/>
  <c r="N42" i="47"/>
  <c r="M42" i="47"/>
  <c r="L42" i="47"/>
  <c r="K42" i="47"/>
  <c r="J42" i="47"/>
  <c r="I42" i="47"/>
  <c r="H42" i="47"/>
  <c r="O42" i="47"/>
  <c r="N41" i="47"/>
  <c r="M41" i="47"/>
  <c r="L41" i="47"/>
  <c r="K41" i="47"/>
  <c r="J41" i="47"/>
  <c r="I41" i="47"/>
  <c r="H41" i="47"/>
  <c r="N40" i="47"/>
  <c r="N38" i="47"/>
  <c r="N39" i="47"/>
  <c r="N37" i="47"/>
  <c r="M40" i="47"/>
  <c r="L40" i="47"/>
  <c r="K40" i="47"/>
  <c r="J40" i="47"/>
  <c r="J38" i="47"/>
  <c r="J39" i="47"/>
  <c r="J37" i="47"/>
  <c r="I40" i="47"/>
  <c r="H40" i="47"/>
  <c r="M39" i="47"/>
  <c r="M38" i="47"/>
  <c r="M37" i="47"/>
  <c r="L39" i="47"/>
  <c r="K39" i="47"/>
  <c r="I39" i="47"/>
  <c r="I38" i="47"/>
  <c r="I37" i="47"/>
  <c r="H39" i="47"/>
  <c r="L38" i="47"/>
  <c r="L37" i="47"/>
  <c r="K38" i="47"/>
  <c r="H38" i="47"/>
  <c r="O38" i="47"/>
  <c r="N35" i="47"/>
  <c r="M35" i="47"/>
  <c r="L35" i="47"/>
  <c r="K35" i="47"/>
  <c r="J35" i="47"/>
  <c r="I35" i="47"/>
  <c r="H35" i="47"/>
  <c r="O35" i="47"/>
  <c r="N34" i="47"/>
  <c r="M34" i="47"/>
  <c r="L34" i="47"/>
  <c r="K34" i="47"/>
  <c r="J34" i="47"/>
  <c r="H34" i="47"/>
  <c r="I34" i="47"/>
  <c r="O34" i="47"/>
  <c r="N33" i="47"/>
  <c r="M33" i="47"/>
  <c r="L33" i="47"/>
  <c r="K33" i="47"/>
  <c r="J33" i="47"/>
  <c r="I33" i="47"/>
  <c r="H33" i="47"/>
  <c r="N31" i="47"/>
  <c r="M31" i="47"/>
  <c r="L31" i="47"/>
  <c r="L30" i="47"/>
  <c r="L29" i="47"/>
  <c r="K31" i="47"/>
  <c r="J31" i="47"/>
  <c r="I31" i="47"/>
  <c r="H31" i="47"/>
  <c r="N30" i="47"/>
  <c r="M30" i="47"/>
  <c r="M29" i="47"/>
  <c r="K30" i="47"/>
  <c r="K29" i="47"/>
  <c r="J30" i="47"/>
  <c r="I30" i="47"/>
  <c r="H30" i="47"/>
  <c r="N25" i="47"/>
  <c r="M25" i="47"/>
  <c r="L25" i="47"/>
  <c r="K25" i="47"/>
  <c r="J25" i="47"/>
  <c r="H25" i="47"/>
  <c r="I25" i="47"/>
  <c r="O25" i="47"/>
  <c r="N24" i="47"/>
  <c r="M24" i="47"/>
  <c r="L24" i="47"/>
  <c r="K24" i="47"/>
  <c r="J24" i="47"/>
  <c r="I24" i="47"/>
  <c r="H24" i="47"/>
  <c r="N23" i="47"/>
  <c r="M23" i="47"/>
  <c r="L23" i="47"/>
  <c r="K23" i="47"/>
  <c r="J23" i="47"/>
  <c r="I23" i="47"/>
  <c r="H23" i="47"/>
  <c r="O23" i="47"/>
  <c r="N22" i="47"/>
  <c r="M22" i="47"/>
  <c r="L22" i="47"/>
  <c r="K22" i="47"/>
  <c r="J22" i="47"/>
  <c r="I22" i="47"/>
  <c r="H22" i="47"/>
  <c r="N21" i="47"/>
  <c r="M21" i="47"/>
  <c r="L21" i="47"/>
  <c r="K21" i="47"/>
  <c r="J21" i="47"/>
  <c r="H21" i="47"/>
  <c r="I21" i="47"/>
  <c r="O21" i="47"/>
  <c r="N20" i="47"/>
  <c r="M20" i="47"/>
  <c r="M18" i="47"/>
  <c r="M19" i="47"/>
  <c r="M17" i="47"/>
  <c r="L20" i="47"/>
  <c r="K20" i="47"/>
  <c r="J20" i="47"/>
  <c r="I20" i="47"/>
  <c r="I18" i="47"/>
  <c r="I19" i="47"/>
  <c r="I17" i="47"/>
  <c r="H20" i="47"/>
  <c r="N19" i="47"/>
  <c r="L19" i="47"/>
  <c r="L18" i="47"/>
  <c r="L17" i="47"/>
  <c r="K19" i="47"/>
  <c r="J19" i="47"/>
  <c r="H19" i="47"/>
  <c r="O19" i="47"/>
  <c r="N18" i="47"/>
  <c r="K18" i="47"/>
  <c r="K17" i="47"/>
  <c r="J18" i="47"/>
  <c r="H18" i="47"/>
  <c r="O18" i="47"/>
  <c r="N14" i="47"/>
  <c r="M14" i="47"/>
  <c r="L14" i="47"/>
  <c r="K14" i="47"/>
  <c r="J14" i="47"/>
  <c r="I14" i="47"/>
  <c r="O14" i="47"/>
  <c r="H14" i="47"/>
  <c r="N13" i="47"/>
  <c r="M13" i="47"/>
  <c r="L13" i="47"/>
  <c r="K13" i="47"/>
  <c r="J13" i="47"/>
  <c r="I13" i="47"/>
  <c r="H13" i="47"/>
  <c r="N12" i="47"/>
  <c r="M12" i="47"/>
  <c r="L12" i="47"/>
  <c r="L10" i="47"/>
  <c r="L11" i="47"/>
  <c r="L9" i="47"/>
  <c r="L8" i="47"/>
  <c r="K12" i="47"/>
  <c r="J12" i="47"/>
  <c r="I12" i="47"/>
  <c r="H12" i="47"/>
  <c r="O12" i="47"/>
  <c r="N11" i="47"/>
  <c r="M11" i="47"/>
  <c r="K11" i="47"/>
  <c r="K10" i="47"/>
  <c r="K9" i="47"/>
  <c r="K8" i="47"/>
  <c r="J11" i="47"/>
  <c r="I11" i="47"/>
  <c r="H11" i="47"/>
  <c r="O11" i="47"/>
  <c r="N10" i="47"/>
  <c r="N9" i="47"/>
  <c r="N8" i="47"/>
  <c r="M10" i="47"/>
  <c r="J10" i="47"/>
  <c r="J9" i="47"/>
  <c r="J8" i="47"/>
  <c r="I10" i="47"/>
  <c r="H10" i="47"/>
  <c r="M204" i="47"/>
  <c r="O187" i="47"/>
  <c r="O184" i="47"/>
  <c r="O182" i="47"/>
  <c r="O180" i="47"/>
  <c r="O179" i="47"/>
  <c r="O176" i="47"/>
  <c r="O174" i="47"/>
  <c r="K169" i="47"/>
  <c r="O165" i="47"/>
  <c r="O164" i="47"/>
  <c r="O163" i="47"/>
  <c r="O162" i="47"/>
  <c r="O161" i="47"/>
  <c r="I160" i="47"/>
  <c r="O160" i="47"/>
  <c r="O159" i="47"/>
  <c r="I158" i="47"/>
  <c r="O157" i="47"/>
  <c r="O156" i="47"/>
  <c r="N155" i="47"/>
  <c r="M155" i="47"/>
  <c r="L155" i="47"/>
  <c r="K155" i="47"/>
  <c r="J155" i="47"/>
  <c r="H155" i="47"/>
  <c r="N154" i="47"/>
  <c r="M154" i="47"/>
  <c r="L154" i="47"/>
  <c r="K154" i="47"/>
  <c r="J154" i="47"/>
  <c r="H154" i="47"/>
  <c r="M150" i="47"/>
  <c r="L145" i="47"/>
  <c r="H145" i="47"/>
  <c r="O133" i="47"/>
  <c r="O129" i="47"/>
  <c r="K119" i="47"/>
  <c r="N116" i="47"/>
  <c r="M116" i="47"/>
  <c r="I116" i="47"/>
  <c r="H114" i="47"/>
  <c r="N103" i="47"/>
  <c r="M103" i="47"/>
  <c r="I103" i="47"/>
  <c r="O100" i="47"/>
  <c r="O91" i="47"/>
  <c r="O85" i="47"/>
  <c r="N77" i="47"/>
  <c r="O75" i="47"/>
  <c r="I63" i="47"/>
  <c r="O60" i="47"/>
  <c r="O46" i="47"/>
  <c r="O45" i="47"/>
  <c r="M45" i="47"/>
  <c r="L45" i="47"/>
  <c r="H45" i="47"/>
  <c r="O41" i="47"/>
  <c r="O30" i="47"/>
  <c r="I29" i="47"/>
  <c r="O22" i="47"/>
  <c r="I9" i="47"/>
  <c r="I8" i="47"/>
  <c r="M138" i="47"/>
  <c r="M131" i="47"/>
  <c r="M131" i="54"/>
  <c r="M138" i="51"/>
  <c r="M131" i="51"/>
  <c r="M138" i="52"/>
  <c r="O31" i="47"/>
  <c r="H29" i="47"/>
  <c r="I32" i="47"/>
  <c r="I28" i="47"/>
  <c r="I26" i="47"/>
  <c r="I7" i="47"/>
  <c r="M32" i="47"/>
  <c r="M28" i="47"/>
  <c r="M26" i="47"/>
  <c r="O92" i="47"/>
  <c r="H90" i="47"/>
  <c r="O91" i="49"/>
  <c r="J90" i="49"/>
  <c r="O78" i="51"/>
  <c r="O77" i="51"/>
  <c r="H77" i="51"/>
  <c r="O143" i="51"/>
  <c r="H138" i="51"/>
  <c r="O39" i="55"/>
  <c r="J37" i="55"/>
  <c r="K32" i="56"/>
  <c r="K28" i="56"/>
  <c r="K26" i="56"/>
  <c r="O38" i="56"/>
  <c r="J37" i="56"/>
  <c r="O57" i="56"/>
  <c r="J56" i="56"/>
  <c r="O87" i="56"/>
  <c r="J86" i="56"/>
  <c r="H94" i="56"/>
  <c r="O95" i="56"/>
  <c r="O94" i="56"/>
  <c r="J103" i="56"/>
  <c r="O117" i="56"/>
  <c r="O116" i="56"/>
  <c r="J116" i="56"/>
  <c r="O193" i="56"/>
  <c r="I188" i="56"/>
  <c r="L32" i="48"/>
  <c r="O134" i="48"/>
  <c r="H132" i="48"/>
  <c r="I155" i="51"/>
  <c r="I154" i="51"/>
  <c r="O158" i="51"/>
  <c r="O155" i="51"/>
  <c r="O154" i="51"/>
  <c r="O18" i="51"/>
  <c r="I17" i="51"/>
  <c r="J71" i="51"/>
  <c r="O72" i="51"/>
  <c r="O74" i="51"/>
  <c r="O75" i="51"/>
  <c r="O71" i="51"/>
  <c r="O91" i="51"/>
  <c r="I90" i="51"/>
  <c r="O115" i="51"/>
  <c r="O114" i="51"/>
  <c r="I114" i="51"/>
  <c r="I107" i="51"/>
  <c r="I101" i="51"/>
  <c r="O10" i="52"/>
  <c r="I9" i="52"/>
  <c r="I8" i="52"/>
  <c r="J9" i="52"/>
  <c r="J8" i="52"/>
  <c r="O11" i="52"/>
  <c r="O20" i="52"/>
  <c r="H17" i="52"/>
  <c r="O33" i="52"/>
  <c r="O32" i="52"/>
  <c r="H32" i="52"/>
  <c r="L32" i="52"/>
  <c r="L28" i="52"/>
  <c r="L26" i="52"/>
  <c r="H47" i="52"/>
  <c r="O49" i="52"/>
  <c r="O50" i="52"/>
  <c r="O51" i="52"/>
  <c r="O54" i="52"/>
  <c r="O55" i="52"/>
  <c r="O47" i="52"/>
  <c r="H56" i="52"/>
  <c r="O58" i="52"/>
  <c r="J80" i="52"/>
  <c r="O81" i="52"/>
  <c r="O96" i="52"/>
  <c r="J94" i="52"/>
  <c r="O110" i="52"/>
  <c r="J108" i="52"/>
  <c r="J114" i="52"/>
  <c r="J107" i="52"/>
  <c r="J126" i="52"/>
  <c r="J125" i="52"/>
  <c r="J101" i="52"/>
  <c r="O134" i="52"/>
  <c r="H132" i="52"/>
  <c r="H188" i="52"/>
  <c r="O196" i="52"/>
  <c r="O207" i="52"/>
  <c r="O209" i="52"/>
  <c r="O213" i="52"/>
  <c r="O204" i="52"/>
  <c r="H204" i="52"/>
  <c r="O19" i="53"/>
  <c r="H17" i="53"/>
  <c r="O31" i="53"/>
  <c r="O30" i="53"/>
  <c r="O29" i="53"/>
  <c r="O33" i="53"/>
  <c r="O32" i="53"/>
  <c r="O28" i="53"/>
  <c r="O26" i="53"/>
  <c r="H29" i="53"/>
  <c r="I32" i="53"/>
  <c r="I28" i="53"/>
  <c r="I26" i="53"/>
  <c r="M32" i="53"/>
  <c r="M28" i="53"/>
  <c r="M26" i="53"/>
  <c r="O38" i="53"/>
  <c r="H37" i="53"/>
  <c r="H47" i="53"/>
  <c r="O48" i="53"/>
  <c r="I71" i="53"/>
  <c r="O73" i="53"/>
  <c r="O74" i="53"/>
  <c r="O71" i="53"/>
  <c r="I138" i="53"/>
  <c r="I131" i="53"/>
  <c r="O139" i="53"/>
  <c r="O151" i="53"/>
  <c r="J150" i="53"/>
  <c r="K107" i="47"/>
  <c r="O151" i="47"/>
  <c r="O65" i="51"/>
  <c r="O63" i="51"/>
  <c r="M80" i="51"/>
  <c r="M70" i="51"/>
  <c r="M36" i="51"/>
  <c r="K32" i="47"/>
  <c r="K132" i="47"/>
  <c r="O173" i="47"/>
  <c r="H150" i="48"/>
  <c r="M9" i="48"/>
  <c r="M8" i="48"/>
  <c r="K9" i="48"/>
  <c r="K8" i="48"/>
  <c r="J17" i="48"/>
  <c r="K17" i="48"/>
  <c r="L17" i="48"/>
  <c r="O24" i="48"/>
  <c r="K29" i="48"/>
  <c r="M28" i="48"/>
  <c r="M26" i="48"/>
  <c r="O39" i="48"/>
  <c r="O43" i="48"/>
  <c r="K47" i="48"/>
  <c r="I47" i="48"/>
  <c r="K56" i="48"/>
  <c r="I56" i="48"/>
  <c r="I63" i="48"/>
  <c r="M63" i="48"/>
  <c r="O73" i="48"/>
  <c r="I71" i="48"/>
  <c r="H80" i="48"/>
  <c r="O84" i="48"/>
  <c r="M86" i="48"/>
  <c r="H90" i="48"/>
  <c r="I94" i="48"/>
  <c r="K94" i="48"/>
  <c r="O109" i="48"/>
  <c r="J108" i="48"/>
  <c r="J107" i="48"/>
  <c r="J126" i="48"/>
  <c r="J125" i="48"/>
  <c r="J101" i="48"/>
  <c r="K108" i="48"/>
  <c r="K107" i="48"/>
  <c r="K101" i="48"/>
  <c r="L108" i="48"/>
  <c r="L107" i="48"/>
  <c r="I119" i="48"/>
  <c r="M126" i="48"/>
  <c r="M125" i="48"/>
  <c r="N126" i="48"/>
  <c r="N125" i="48"/>
  <c r="L138" i="48"/>
  <c r="L131" i="48"/>
  <c r="M138" i="48"/>
  <c r="N138" i="48"/>
  <c r="O144" i="48"/>
  <c r="L169" i="48"/>
  <c r="L204" i="48"/>
  <c r="L168" i="48"/>
  <c r="L153" i="48"/>
  <c r="M169" i="48"/>
  <c r="N169" i="48"/>
  <c r="J188" i="48"/>
  <c r="J204" i="48"/>
  <c r="J168" i="48"/>
  <c r="J153" i="48"/>
  <c r="O196" i="48"/>
  <c r="M204" i="48"/>
  <c r="N204" i="48"/>
  <c r="I37" i="49"/>
  <c r="M71" i="49"/>
  <c r="K9" i="50"/>
  <c r="K8" i="50"/>
  <c r="O81" i="51"/>
  <c r="O134" i="51"/>
  <c r="L9" i="51"/>
  <c r="L8" i="51"/>
  <c r="O21" i="51"/>
  <c r="O25" i="51"/>
  <c r="O34" i="51"/>
  <c r="O35" i="51"/>
  <c r="O32" i="51"/>
  <c r="O41" i="51"/>
  <c r="J47" i="51"/>
  <c r="O51" i="51"/>
  <c r="O48" i="51"/>
  <c r="O50" i="51"/>
  <c r="O52" i="51"/>
  <c r="O54" i="51"/>
  <c r="O55" i="51"/>
  <c r="O47" i="51"/>
  <c r="O60" i="51"/>
  <c r="O96" i="51"/>
  <c r="O99" i="51"/>
  <c r="N132" i="51"/>
  <c r="O141" i="51"/>
  <c r="O152" i="51"/>
  <c r="O183" i="51"/>
  <c r="J204" i="51"/>
  <c r="N204" i="51"/>
  <c r="O215" i="51"/>
  <c r="L7" i="52"/>
  <c r="K17" i="52"/>
  <c r="K7" i="52"/>
  <c r="L108" i="52"/>
  <c r="L107" i="52"/>
  <c r="L101" i="52"/>
  <c r="I107" i="52"/>
  <c r="I101" i="52"/>
  <c r="M107" i="52"/>
  <c r="N107" i="52"/>
  <c r="K131" i="52"/>
  <c r="H168" i="52"/>
  <c r="H153" i="52"/>
  <c r="M7" i="53"/>
  <c r="L36" i="53"/>
  <c r="N101" i="53"/>
  <c r="H107" i="53"/>
  <c r="K107" i="53"/>
  <c r="K101" i="53"/>
  <c r="L101" i="53"/>
  <c r="M131" i="53"/>
  <c r="O10" i="56"/>
  <c r="O115" i="56"/>
  <c r="O114" i="56"/>
  <c r="O79" i="47"/>
  <c r="J77" i="47"/>
  <c r="J119" i="47"/>
  <c r="O207" i="47"/>
  <c r="H204" i="47"/>
  <c r="H32" i="49"/>
  <c r="O33" i="49"/>
  <c r="O32" i="49"/>
  <c r="O46" i="49"/>
  <c r="O45" i="49"/>
  <c r="J45" i="49"/>
  <c r="O50" i="49"/>
  <c r="I47" i="49"/>
  <c r="I108" i="49"/>
  <c r="I107" i="49"/>
  <c r="O109" i="49"/>
  <c r="O134" i="49"/>
  <c r="H132" i="49"/>
  <c r="H138" i="49"/>
  <c r="H131" i="49"/>
  <c r="O18" i="50"/>
  <c r="O17" i="50"/>
  <c r="J17" i="50"/>
  <c r="H32" i="50"/>
  <c r="O33" i="50"/>
  <c r="O32" i="50"/>
  <c r="I155" i="47"/>
  <c r="I154" i="47"/>
  <c r="O158" i="47"/>
  <c r="O155" i="47"/>
  <c r="O154" i="47"/>
  <c r="O72" i="48"/>
  <c r="H71" i="48"/>
  <c r="O46" i="55"/>
  <c r="O45" i="55"/>
  <c r="H45" i="55"/>
  <c r="O78" i="55"/>
  <c r="O77" i="55"/>
  <c r="J77" i="55"/>
  <c r="I90" i="55"/>
  <c r="O92" i="55"/>
  <c r="J119" i="55"/>
  <c r="O48" i="56"/>
  <c r="J47" i="56"/>
  <c r="O64" i="56"/>
  <c r="O63" i="56"/>
  <c r="H63" i="56"/>
  <c r="O72" i="56"/>
  <c r="J71" i="56"/>
  <c r="J132" i="56"/>
  <c r="O133" i="56"/>
  <c r="O33" i="48"/>
  <c r="H32" i="48"/>
  <c r="H28" i="48"/>
  <c r="H26" i="48"/>
  <c r="O171" i="48"/>
  <c r="H169" i="48"/>
  <c r="J132" i="51"/>
  <c r="J131" i="51"/>
  <c r="O133" i="51"/>
  <c r="I155" i="48"/>
  <c r="I154" i="48"/>
  <c r="O158" i="48"/>
  <c r="O155" i="48"/>
  <c r="O154" i="48"/>
  <c r="I32" i="50"/>
  <c r="I28" i="50"/>
  <c r="I26" i="50"/>
  <c r="M32" i="50"/>
  <c r="M28" i="50"/>
  <c r="M26" i="50"/>
  <c r="M17" i="50"/>
  <c r="M7" i="50"/>
  <c r="O78" i="50"/>
  <c r="H77" i="50"/>
  <c r="O151" i="50"/>
  <c r="J150" i="50"/>
  <c r="K28" i="47"/>
  <c r="K26" i="47"/>
  <c r="K7" i="47"/>
  <c r="M63" i="47"/>
  <c r="M70" i="47"/>
  <c r="M36" i="47"/>
  <c r="H107" i="47"/>
  <c r="M168" i="47"/>
  <c r="M153" i="47"/>
  <c r="O135" i="48"/>
  <c r="O132" i="48"/>
  <c r="I126" i="48"/>
  <c r="I125" i="48"/>
  <c r="I101" i="48"/>
  <c r="H77" i="49"/>
  <c r="M107" i="51"/>
  <c r="M126" i="51"/>
  <c r="M125" i="51"/>
  <c r="M101" i="51"/>
  <c r="K168" i="51"/>
  <c r="K153" i="51"/>
  <c r="I32" i="56"/>
  <c r="I28" i="56"/>
  <c r="I26" i="56"/>
  <c r="J126" i="47"/>
  <c r="J125" i="47"/>
  <c r="I188" i="47"/>
  <c r="I9" i="48"/>
  <c r="I8" i="48"/>
  <c r="O13" i="48"/>
  <c r="O14" i="48"/>
  <c r="O10" i="48"/>
  <c r="O9" i="48"/>
  <c r="O8" i="48"/>
  <c r="N17" i="48"/>
  <c r="O20" i="48"/>
  <c r="I28" i="48"/>
  <c r="I26" i="48"/>
  <c r="K37" i="48"/>
  <c r="I37" i="48"/>
  <c r="M37" i="48"/>
  <c r="O49" i="48"/>
  <c r="M47" i="48"/>
  <c r="O58" i="48"/>
  <c r="M56" i="48"/>
  <c r="K63" i="48"/>
  <c r="O68" i="48"/>
  <c r="K71" i="48"/>
  <c r="M71" i="48"/>
  <c r="O78" i="48"/>
  <c r="I77" i="48"/>
  <c r="M77" i="48"/>
  <c r="L80" i="48"/>
  <c r="L90" i="48"/>
  <c r="L94" i="48"/>
  <c r="L70" i="48"/>
  <c r="L63" i="48"/>
  <c r="L36" i="48"/>
  <c r="O88" i="48"/>
  <c r="O89" i="48"/>
  <c r="K90" i="48"/>
  <c r="M94" i="48"/>
  <c r="O98" i="48"/>
  <c r="L101" i="48"/>
  <c r="N108" i="48"/>
  <c r="N107" i="48"/>
  <c r="O113" i="48"/>
  <c r="M119" i="48"/>
  <c r="O127" i="48"/>
  <c r="K132" i="48"/>
  <c r="K138" i="48"/>
  <c r="K131" i="48"/>
  <c r="I132" i="48"/>
  <c r="M132" i="48"/>
  <c r="M131" i="48"/>
  <c r="O140" i="48"/>
  <c r="O143" i="48"/>
  <c r="K150" i="48"/>
  <c r="I169" i="48"/>
  <c r="O185" i="48"/>
  <c r="N188" i="48"/>
  <c r="K188" i="48"/>
  <c r="H204" i="48"/>
  <c r="I204" i="48"/>
  <c r="O218" i="48"/>
  <c r="J29" i="49"/>
  <c r="I56" i="49"/>
  <c r="J108" i="49"/>
  <c r="J114" i="49"/>
  <c r="J107" i="49"/>
  <c r="J126" i="49"/>
  <c r="J125" i="49"/>
  <c r="J101" i="49"/>
  <c r="M47" i="49"/>
  <c r="O132" i="49"/>
  <c r="O139" i="49"/>
  <c r="O138" i="49"/>
  <c r="O131" i="49"/>
  <c r="I37" i="50"/>
  <c r="I56" i="50"/>
  <c r="K94" i="50"/>
  <c r="H71" i="51"/>
  <c r="O95" i="51"/>
  <c r="O100" i="51"/>
  <c r="O94" i="51"/>
  <c r="H9" i="51"/>
  <c r="H8" i="51"/>
  <c r="O11" i="51"/>
  <c r="N223" i="51"/>
  <c r="M17" i="51"/>
  <c r="O22" i="51"/>
  <c r="N37" i="51"/>
  <c r="N47" i="51"/>
  <c r="N56" i="51"/>
  <c r="O59" i="51"/>
  <c r="L63" i="51"/>
  <c r="N71" i="51"/>
  <c r="I80" i="51"/>
  <c r="K80" i="51"/>
  <c r="O85" i="51"/>
  <c r="H94" i="51"/>
  <c r="L94" i="51"/>
  <c r="O109" i="51"/>
  <c r="O129" i="51"/>
  <c r="O135" i="51"/>
  <c r="O136" i="51"/>
  <c r="O132" i="51"/>
  <c r="O191" i="51"/>
  <c r="H17" i="47"/>
  <c r="J138" i="47"/>
  <c r="O48" i="48"/>
  <c r="H86" i="48"/>
  <c r="I86" i="49"/>
  <c r="O151" i="49"/>
  <c r="O150" i="49"/>
  <c r="H204" i="49"/>
  <c r="J29" i="50"/>
  <c r="J9" i="50"/>
  <c r="J8" i="50"/>
  <c r="N9" i="50"/>
  <c r="N8" i="50"/>
  <c r="H9" i="50"/>
  <c r="H8" i="50"/>
  <c r="L9" i="50"/>
  <c r="L8" i="50"/>
  <c r="K17" i="50"/>
  <c r="L17" i="50"/>
  <c r="I17" i="50"/>
  <c r="K29" i="50"/>
  <c r="L28" i="50"/>
  <c r="L26" i="50"/>
  <c r="K37" i="50"/>
  <c r="O40" i="50"/>
  <c r="O41" i="50"/>
  <c r="O44" i="50"/>
  <c r="O46" i="50"/>
  <c r="O45" i="50"/>
  <c r="K47" i="50"/>
  <c r="O50" i="50"/>
  <c r="O51" i="50"/>
  <c r="N223" i="50"/>
  <c r="O54" i="50"/>
  <c r="O55" i="50"/>
  <c r="K56" i="50"/>
  <c r="O59" i="50"/>
  <c r="O60" i="50"/>
  <c r="O64" i="50"/>
  <c r="M63" i="50"/>
  <c r="O65" i="50"/>
  <c r="O69" i="50"/>
  <c r="K71" i="50"/>
  <c r="O74" i="50"/>
  <c r="O75" i="50"/>
  <c r="O79" i="50"/>
  <c r="O81" i="50"/>
  <c r="N80" i="50"/>
  <c r="O85" i="50"/>
  <c r="K86" i="50"/>
  <c r="O91" i="50"/>
  <c r="N90" i="50"/>
  <c r="O95" i="50"/>
  <c r="M94" i="50"/>
  <c r="O96" i="50"/>
  <c r="O99" i="50"/>
  <c r="O100" i="50"/>
  <c r="K108" i="50"/>
  <c r="K107" i="50"/>
  <c r="K126" i="50"/>
  <c r="K125" i="50"/>
  <c r="K101" i="50"/>
  <c r="O109" i="50"/>
  <c r="M108" i="50"/>
  <c r="M107" i="50"/>
  <c r="O110" i="50"/>
  <c r="O115" i="50"/>
  <c r="O114" i="50"/>
  <c r="H126" i="50"/>
  <c r="H125" i="50"/>
  <c r="O128" i="50"/>
  <c r="O129" i="50"/>
  <c r="O126" i="50"/>
  <c r="O125" i="50"/>
  <c r="K132" i="50"/>
  <c r="K138" i="50"/>
  <c r="K131" i="50"/>
  <c r="O135" i="50"/>
  <c r="O136" i="50"/>
  <c r="O137" i="50"/>
  <c r="O132" i="50"/>
  <c r="M132" i="50"/>
  <c r="O141" i="50"/>
  <c r="O142" i="50"/>
  <c r="O138" i="50"/>
  <c r="L169" i="50"/>
  <c r="L188" i="50"/>
  <c r="L168" i="50"/>
  <c r="L153" i="50"/>
  <c r="O172" i="50"/>
  <c r="O178" i="50"/>
  <c r="O186" i="50"/>
  <c r="J188" i="50"/>
  <c r="N188" i="50"/>
  <c r="O198" i="50"/>
  <c r="O201" i="50"/>
  <c r="H204" i="50"/>
  <c r="O213" i="50"/>
  <c r="O20" i="51"/>
  <c r="J37" i="51"/>
  <c r="O93" i="51"/>
  <c r="O66" i="53"/>
  <c r="O78" i="53"/>
  <c r="O136" i="55"/>
  <c r="H138" i="50"/>
  <c r="I169" i="58"/>
  <c r="O171" i="58"/>
  <c r="O18" i="57"/>
  <c r="O20" i="57"/>
  <c r="O21" i="57"/>
  <c r="O23" i="57"/>
  <c r="O17" i="57"/>
  <c r="H17" i="57"/>
  <c r="O30" i="57"/>
  <c r="H29" i="57"/>
  <c r="J80" i="57"/>
  <c r="J70" i="57"/>
  <c r="O83" i="57"/>
  <c r="H29" i="59"/>
  <c r="O30" i="59"/>
  <c r="O91" i="60"/>
  <c r="O93" i="60"/>
  <c r="O90" i="60"/>
  <c r="H90" i="60"/>
  <c r="O115" i="60"/>
  <c r="O114" i="60"/>
  <c r="H114" i="60"/>
  <c r="O117" i="60"/>
  <c r="O116" i="60"/>
  <c r="I116" i="60"/>
  <c r="I132" i="60"/>
  <c r="O133" i="60"/>
  <c r="O134" i="60"/>
  <c r="O136" i="60"/>
  <c r="O137" i="60"/>
  <c r="O132" i="60"/>
  <c r="O97" i="61"/>
  <c r="O115" i="61"/>
  <c r="O114" i="61"/>
  <c r="H114" i="61"/>
  <c r="O196" i="61"/>
  <c r="I188" i="61"/>
  <c r="L29" i="48"/>
  <c r="L28" i="48"/>
  <c r="L26" i="48"/>
  <c r="J32" i="48"/>
  <c r="J28" i="48"/>
  <c r="J26" i="48"/>
  <c r="N32" i="48"/>
  <c r="N28" i="48"/>
  <c r="N26" i="48"/>
  <c r="N77" i="48"/>
  <c r="N71" i="48"/>
  <c r="N80" i="48"/>
  <c r="N86" i="48"/>
  <c r="N70" i="48"/>
  <c r="N37" i="48"/>
  <c r="N47" i="48"/>
  <c r="N56" i="48"/>
  <c r="N36" i="48"/>
  <c r="O110" i="48"/>
  <c r="N119" i="48"/>
  <c r="H188" i="48"/>
  <c r="K204" i="48"/>
  <c r="K169" i="48"/>
  <c r="K168" i="48"/>
  <c r="K153" i="48"/>
  <c r="K9" i="49"/>
  <c r="K8" i="49"/>
  <c r="J32" i="49"/>
  <c r="N32" i="49"/>
  <c r="N28" i="49"/>
  <c r="N26" i="49"/>
  <c r="M37" i="49"/>
  <c r="I71" i="49"/>
  <c r="J169" i="49"/>
  <c r="N169" i="49"/>
  <c r="N188" i="49"/>
  <c r="N204" i="49"/>
  <c r="N168" i="49"/>
  <c r="N153" i="49"/>
  <c r="K169" i="49"/>
  <c r="H169" i="49"/>
  <c r="O183" i="49"/>
  <c r="K188" i="49"/>
  <c r="O193" i="49"/>
  <c r="L188" i="49"/>
  <c r="O203" i="49"/>
  <c r="I204" i="49"/>
  <c r="M204" i="49"/>
  <c r="M168" i="49"/>
  <c r="M153" i="49"/>
  <c r="J204" i="49"/>
  <c r="K204" i="49"/>
  <c r="O215" i="49"/>
  <c r="J32" i="50"/>
  <c r="J28" i="50"/>
  <c r="J26" i="50"/>
  <c r="N32" i="50"/>
  <c r="N28" i="50"/>
  <c r="N26" i="50"/>
  <c r="O38" i="50"/>
  <c r="L37" i="50"/>
  <c r="J37" i="50"/>
  <c r="N37" i="50"/>
  <c r="O42" i="50"/>
  <c r="O48" i="50"/>
  <c r="O52" i="50"/>
  <c r="O47" i="50"/>
  <c r="L47" i="50"/>
  <c r="M47" i="50"/>
  <c r="J47" i="50"/>
  <c r="N47" i="50"/>
  <c r="H56" i="50"/>
  <c r="L56" i="50"/>
  <c r="M56" i="50"/>
  <c r="J56" i="50"/>
  <c r="N56" i="50"/>
  <c r="J63" i="50"/>
  <c r="N63" i="50"/>
  <c r="K63" i="50"/>
  <c r="H63" i="50"/>
  <c r="L63" i="50"/>
  <c r="O72" i="50"/>
  <c r="L71" i="50"/>
  <c r="J71" i="50"/>
  <c r="N71" i="50"/>
  <c r="N86" i="50"/>
  <c r="N94" i="50"/>
  <c r="N70" i="50"/>
  <c r="N36" i="50"/>
  <c r="O76" i="50"/>
  <c r="I77" i="50"/>
  <c r="M77" i="50"/>
  <c r="O82" i="50"/>
  <c r="I80" i="50"/>
  <c r="M80" i="50"/>
  <c r="O87" i="50"/>
  <c r="O86" i="50"/>
  <c r="L86" i="50"/>
  <c r="M86" i="50"/>
  <c r="J86" i="50"/>
  <c r="K90" i="50"/>
  <c r="O92" i="50"/>
  <c r="O90" i="50"/>
  <c r="L90" i="50"/>
  <c r="I90" i="50"/>
  <c r="M90" i="50"/>
  <c r="J94" i="50"/>
  <c r="H94" i="50"/>
  <c r="L94" i="50"/>
  <c r="J108" i="50"/>
  <c r="J107" i="50"/>
  <c r="N108" i="50"/>
  <c r="N107" i="50"/>
  <c r="H108" i="50"/>
  <c r="H107" i="50"/>
  <c r="L108" i="50"/>
  <c r="L107" i="50"/>
  <c r="O117" i="50"/>
  <c r="O116" i="50"/>
  <c r="I119" i="50"/>
  <c r="M119" i="50"/>
  <c r="I126" i="50"/>
  <c r="I125" i="50"/>
  <c r="M126" i="50"/>
  <c r="M125" i="50"/>
  <c r="J126" i="50"/>
  <c r="J125" i="50"/>
  <c r="N126" i="50"/>
  <c r="N125" i="50"/>
  <c r="L132" i="50"/>
  <c r="L131" i="50"/>
  <c r="I132" i="50"/>
  <c r="J132" i="50"/>
  <c r="J138" i="50"/>
  <c r="J131" i="50"/>
  <c r="N132" i="50"/>
  <c r="N138" i="50"/>
  <c r="N131" i="50"/>
  <c r="I138" i="50"/>
  <c r="I131" i="50"/>
  <c r="M138" i="50"/>
  <c r="M131" i="50"/>
  <c r="K150" i="50"/>
  <c r="O152" i="50"/>
  <c r="I169" i="50"/>
  <c r="J169" i="50"/>
  <c r="J204" i="50"/>
  <c r="J168" i="50"/>
  <c r="J153" i="50"/>
  <c r="N169" i="50"/>
  <c r="N204" i="50"/>
  <c r="N168" i="50"/>
  <c r="N153" i="50"/>
  <c r="O175" i="50"/>
  <c r="O183" i="50"/>
  <c r="K188" i="50"/>
  <c r="K204" i="50"/>
  <c r="K168" i="50"/>
  <c r="K153" i="50"/>
  <c r="H188" i="50"/>
  <c r="O203" i="50"/>
  <c r="I204" i="50"/>
  <c r="M204" i="50"/>
  <c r="O215" i="50"/>
  <c r="O218" i="50"/>
  <c r="L101" i="51"/>
  <c r="J9" i="51"/>
  <c r="J8" i="51"/>
  <c r="J32" i="51"/>
  <c r="J28" i="51"/>
  <c r="J26" i="51"/>
  <c r="J7" i="51"/>
  <c r="O23" i="51"/>
  <c r="O31" i="51"/>
  <c r="I32" i="51"/>
  <c r="M32" i="51"/>
  <c r="M28" i="51"/>
  <c r="M26" i="51"/>
  <c r="M7" i="51"/>
  <c r="H47" i="51"/>
  <c r="L71" i="51"/>
  <c r="K94" i="51"/>
  <c r="O155" i="52"/>
  <c r="O154" i="52"/>
  <c r="O155" i="53"/>
  <c r="O154" i="53"/>
  <c r="H204" i="53"/>
  <c r="O155" i="57"/>
  <c r="O154" i="57"/>
  <c r="J47" i="55"/>
  <c r="J63" i="55"/>
  <c r="N86" i="55"/>
  <c r="K90" i="56"/>
  <c r="K71" i="56"/>
  <c r="K86" i="56"/>
  <c r="K94" i="56"/>
  <c r="K70" i="56"/>
  <c r="K37" i="56"/>
  <c r="K47" i="56"/>
  <c r="K56" i="56"/>
  <c r="K63" i="56"/>
  <c r="K36" i="56"/>
  <c r="M108" i="56"/>
  <c r="M107" i="56"/>
  <c r="I32" i="58"/>
  <c r="I28" i="58"/>
  <c r="I26" i="58"/>
  <c r="J188" i="58"/>
  <c r="J168" i="58"/>
  <c r="J153" i="58"/>
  <c r="J108" i="59"/>
  <c r="J107" i="59"/>
  <c r="J101" i="59"/>
  <c r="N108" i="59"/>
  <c r="N107" i="59"/>
  <c r="N101" i="59"/>
  <c r="M131" i="60"/>
  <c r="L204" i="60"/>
  <c r="L168" i="60"/>
  <c r="L153" i="60"/>
  <c r="I32" i="54"/>
  <c r="I28" i="54"/>
  <c r="I26" i="54"/>
  <c r="M32" i="54"/>
  <c r="M28" i="54"/>
  <c r="M26" i="54"/>
  <c r="M7" i="54"/>
  <c r="O38" i="54"/>
  <c r="H37" i="54"/>
  <c r="H56" i="54"/>
  <c r="O57" i="54"/>
  <c r="O58" i="54"/>
  <c r="O59" i="54"/>
  <c r="O56" i="54"/>
  <c r="I63" i="54"/>
  <c r="O67" i="54"/>
  <c r="O78" i="54"/>
  <c r="O79" i="54"/>
  <c r="O77" i="54"/>
  <c r="I77" i="54"/>
  <c r="O111" i="54"/>
  <c r="H108" i="54"/>
  <c r="H107" i="54"/>
  <c r="O117" i="54"/>
  <c r="O116" i="54"/>
  <c r="H116" i="54"/>
  <c r="I138" i="54"/>
  <c r="O139" i="54"/>
  <c r="O33" i="47"/>
  <c r="O32" i="47"/>
  <c r="H32" i="47"/>
  <c r="L32" i="47"/>
  <c r="L28" i="47"/>
  <c r="L26" i="47"/>
  <c r="L7" i="47"/>
  <c r="O115" i="47"/>
  <c r="O114" i="47"/>
  <c r="J114" i="47"/>
  <c r="J107" i="47"/>
  <c r="J101" i="47"/>
  <c r="I17" i="52"/>
  <c r="O18" i="52"/>
  <c r="I29" i="52"/>
  <c r="I32" i="52"/>
  <c r="I28" i="52"/>
  <c r="I26" i="52"/>
  <c r="I7" i="52"/>
  <c r="O30" i="52"/>
  <c r="O29" i="52"/>
  <c r="J56" i="52"/>
  <c r="O57" i="52"/>
  <c r="J103" i="52"/>
  <c r="J132" i="52"/>
  <c r="J138" i="52"/>
  <c r="J145" i="52"/>
  <c r="J131" i="52"/>
  <c r="O133" i="52"/>
  <c r="O151" i="52"/>
  <c r="O150" i="52"/>
  <c r="I150" i="52"/>
  <c r="J29" i="53"/>
  <c r="H32" i="53"/>
  <c r="L32" i="53"/>
  <c r="L28" i="53"/>
  <c r="L26" i="53"/>
  <c r="L7" i="53"/>
  <c r="O91" i="53"/>
  <c r="O90" i="53"/>
  <c r="J90" i="53"/>
  <c r="J70" i="53"/>
  <c r="J36" i="53"/>
  <c r="O115" i="53"/>
  <c r="O114" i="53"/>
  <c r="J114" i="53"/>
  <c r="J107" i="53"/>
  <c r="J101" i="53"/>
  <c r="H119" i="53"/>
  <c r="O81" i="54"/>
  <c r="J80" i="54"/>
  <c r="H119" i="54"/>
  <c r="I155" i="56"/>
  <c r="I154" i="56"/>
  <c r="I169" i="56"/>
  <c r="I204" i="56"/>
  <c r="I168" i="56"/>
  <c r="I153" i="56"/>
  <c r="O158" i="56"/>
  <c r="O155" i="56"/>
  <c r="O154" i="56"/>
  <c r="I7" i="54"/>
  <c r="L70" i="54"/>
  <c r="L36" i="54"/>
  <c r="I108" i="54"/>
  <c r="I107" i="54"/>
  <c r="I101" i="54"/>
  <c r="M108" i="54"/>
  <c r="M107" i="54"/>
  <c r="M101" i="54"/>
  <c r="J131" i="54"/>
  <c r="M9" i="47"/>
  <c r="M8" i="47"/>
  <c r="M7" i="47"/>
  <c r="O13" i="47"/>
  <c r="J17" i="47"/>
  <c r="J29" i="47"/>
  <c r="J32" i="47"/>
  <c r="J28" i="47"/>
  <c r="J26" i="47"/>
  <c r="J7" i="47"/>
  <c r="N17" i="47"/>
  <c r="O20" i="47"/>
  <c r="O24" i="47"/>
  <c r="O17" i="47"/>
  <c r="N29" i="47"/>
  <c r="K37" i="47"/>
  <c r="K86" i="47"/>
  <c r="K70" i="47"/>
  <c r="K36" i="47"/>
  <c r="O39" i="47"/>
  <c r="O43" i="47"/>
  <c r="O49" i="47"/>
  <c r="O47" i="47"/>
  <c r="N223" i="47"/>
  <c r="O58" i="47"/>
  <c r="O73" i="47"/>
  <c r="O71" i="47"/>
  <c r="O78" i="47"/>
  <c r="O77" i="47"/>
  <c r="L77" i="47"/>
  <c r="J80" i="47"/>
  <c r="N80" i="47"/>
  <c r="N90" i="47"/>
  <c r="N70" i="47"/>
  <c r="N36" i="47"/>
  <c r="H80" i="47"/>
  <c r="L80" i="47"/>
  <c r="O88" i="47"/>
  <c r="O86" i="47"/>
  <c r="J90" i="47"/>
  <c r="O93" i="47"/>
  <c r="O90" i="47"/>
  <c r="I94" i="47"/>
  <c r="I70" i="47"/>
  <c r="I36" i="47"/>
  <c r="O98" i="47"/>
  <c r="O109" i="47"/>
  <c r="M108" i="47"/>
  <c r="M107" i="47"/>
  <c r="O110" i="47"/>
  <c r="O113" i="47"/>
  <c r="L119" i="47"/>
  <c r="O127" i="47"/>
  <c r="O126" i="47"/>
  <c r="O125" i="47"/>
  <c r="L126" i="47"/>
  <c r="L125" i="47"/>
  <c r="H132" i="47"/>
  <c r="L138" i="47"/>
  <c r="L131" i="47"/>
  <c r="O143" i="47"/>
  <c r="K204" i="47"/>
  <c r="H108" i="48"/>
  <c r="H107" i="48"/>
  <c r="M29" i="49"/>
  <c r="K32" i="49"/>
  <c r="K77" i="49"/>
  <c r="K80" i="49"/>
  <c r="K90" i="49"/>
  <c r="K70" i="49"/>
  <c r="K36" i="49"/>
  <c r="H108" i="49"/>
  <c r="H107" i="49"/>
  <c r="K119" i="49"/>
  <c r="O72" i="54"/>
  <c r="J86" i="54"/>
  <c r="O98" i="54"/>
  <c r="O128" i="54"/>
  <c r="N223" i="52"/>
  <c r="M17" i="52"/>
  <c r="J37" i="52"/>
  <c r="N37" i="52"/>
  <c r="O40" i="52"/>
  <c r="O41" i="52"/>
  <c r="O44" i="52"/>
  <c r="O37" i="52"/>
  <c r="O46" i="52"/>
  <c r="O45" i="52"/>
  <c r="J47" i="52"/>
  <c r="N47" i="52"/>
  <c r="N56" i="52"/>
  <c r="N36" i="52"/>
  <c r="O59" i="52"/>
  <c r="O60" i="52"/>
  <c r="O64" i="52"/>
  <c r="L63" i="52"/>
  <c r="O65" i="52"/>
  <c r="O69" i="52"/>
  <c r="O63" i="52"/>
  <c r="O75" i="52"/>
  <c r="I80" i="52"/>
  <c r="M80" i="52"/>
  <c r="M70" i="52"/>
  <c r="M36" i="52"/>
  <c r="O85" i="52"/>
  <c r="O95" i="52"/>
  <c r="L94" i="52"/>
  <c r="L70" i="52"/>
  <c r="L36" i="52"/>
  <c r="O99" i="52"/>
  <c r="O109" i="52"/>
  <c r="O128" i="52"/>
  <c r="O126" i="52"/>
  <c r="O125" i="52"/>
  <c r="N132" i="52"/>
  <c r="O135" i="52"/>
  <c r="O172" i="52"/>
  <c r="O178" i="52"/>
  <c r="O181" i="52"/>
  <c r="O186" i="52"/>
  <c r="O191" i="52"/>
  <c r="O198" i="52"/>
  <c r="O201" i="52"/>
  <c r="O188" i="52"/>
  <c r="I9" i="53"/>
  <c r="I8" i="53"/>
  <c r="O13" i="53"/>
  <c r="J17" i="53"/>
  <c r="N17" i="53"/>
  <c r="O20" i="53"/>
  <c r="O24" i="53"/>
  <c r="O39" i="53"/>
  <c r="O40" i="53"/>
  <c r="O43" i="53"/>
  <c r="O44" i="53"/>
  <c r="O37" i="53"/>
  <c r="O49" i="53"/>
  <c r="O50" i="53"/>
  <c r="N223" i="53"/>
  <c r="O54" i="53"/>
  <c r="O58" i="53"/>
  <c r="O59" i="53"/>
  <c r="O56" i="53"/>
  <c r="O64" i="53"/>
  <c r="O68" i="53"/>
  <c r="K71" i="53"/>
  <c r="K70" i="53"/>
  <c r="K36" i="53"/>
  <c r="O79" i="53"/>
  <c r="N80" i="53"/>
  <c r="O83" i="53"/>
  <c r="O84" i="53"/>
  <c r="O80" i="53"/>
  <c r="O89" i="53"/>
  <c r="O86" i="53"/>
  <c r="O95" i="53"/>
  <c r="M94" i="53"/>
  <c r="M70" i="53"/>
  <c r="M36" i="53"/>
  <c r="O98" i="53"/>
  <c r="O99" i="53"/>
  <c r="O109" i="53"/>
  <c r="O111" i="53"/>
  <c r="O113" i="53"/>
  <c r="O108" i="53"/>
  <c r="O107" i="53"/>
  <c r="M108" i="53"/>
  <c r="M107" i="53"/>
  <c r="O127" i="53"/>
  <c r="O128" i="53"/>
  <c r="O126" i="53"/>
  <c r="O125" i="53"/>
  <c r="K132" i="53"/>
  <c r="O134" i="53"/>
  <c r="O135" i="53"/>
  <c r="O140" i="53"/>
  <c r="O143" i="53"/>
  <c r="O144" i="53"/>
  <c r="M188" i="53"/>
  <c r="M168" i="53"/>
  <c r="M153" i="53"/>
  <c r="O213" i="53"/>
  <c r="O10" i="54"/>
  <c r="O12" i="54"/>
  <c r="O13" i="54"/>
  <c r="O14" i="54"/>
  <c r="O9" i="54"/>
  <c r="O8" i="54"/>
  <c r="J17" i="54"/>
  <c r="J32" i="54"/>
  <c r="J28" i="54"/>
  <c r="J26" i="54"/>
  <c r="J7" i="54"/>
  <c r="N17" i="54"/>
  <c r="O21" i="54"/>
  <c r="O24" i="54"/>
  <c r="O25" i="54"/>
  <c r="O34" i="54"/>
  <c r="O32" i="54"/>
  <c r="O40" i="54"/>
  <c r="O44" i="54"/>
  <c r="K47" i="54"/>
  <c r="O49" i="54"/>
  <c r="N223" i="54"/>
  <c r="O64" i="54"/>
  <c r="O68" i="54"/>
  <c r="O63" i="54"/>
  <c r="O73" i="54"/>
  <c r="O74" i="54"/>
  <c r="O88" i="54"/>
  <c r="O86" i="54"/>
  <c r="O93" i="54"/>
  <c r="O90" i="54"/>
  <c r="O95" i="54"/>
  <c r="O99" i="54"/>
  <c r="K101" i="54"/>
  <c r="O134" i="54"/>
  <c r="O135" i="54"/>
  <c r="L138" i="54"/>
  <c r="O140" i="54"/>
  <c r="O143" i="54"/>
  <c r="O144" i="54"/>
  <c r="O152" i="54"/>
  <c r="L150" i="54"/>
  <c r="O171" i="54"/>
  <c r="M169" i="54"/>
  <c r="J169" i="54"/>
  <c r="N169" i="54"/>
  <c r="N188" i="54"/>
  <c r="N168" i="54"/>
  <c r="N153" i="54"/>
  <c r="K169" i="54"/>
  <c r="O175" i="54"/>
  <c r="O177" i="54"/>
  <c r="O183" i="54"/>
  <c r="K188" i="54"/>
  <c r="O193" i="54"/>
  <c r="I188" i="54"/>
  <c r="M188" i="54"/>
  <c r="O203" i="54"/>
  <c r="O196" i="54"/>
  <c r="O188" i="54"/>
  <c r="I204" i="54"/>
  <c r="M204" i="54"/>
  <c r="K204" i="54"/>
  <c r="O215" i="54"/>
  <c r="N108" i="56"/>
  <c r="N107" i="56"/>
  <c r="N101" i="56"/>
  <c r="O196" i="60"/>
  <c r="J28" i="61"/>
  <c r="J26" i="61"/>
  <c r="J63" i="61"/>
  <c r="H9" i="58"/>
  <c r="H8" i="58"/>
  <c r="K17" i="58"/>
  <c r="K80" i="58"/>
  <c r="K71" i="58"/>
  <c r="K86" i="58"/>
  <c r="K94" i="58"/>
  <c r="K70" i="58"/>
  <c r="K37" i="58"/>
  <c r="K47" i="58"/>
  <c r="K56" i="58"/>
  <c r="K63" i="58"/>
  <c r="K36" i="58"/>
  <c r="I138" i="58"/>
  <c r="L56" i="57"/>
  <c r="N132" i="57"/>
  <c r="M9" i="59"/>
  <c r="M8" i="59"/>
  <c r="M17" i="59"/>
  <c r="M29" i="59"/>
  <c r="M32" i="59"/>
  <c r="M28" i="59"/>
  <c r="M26" i="59"/>
  <c r="M7" i="59"/>
  <c r="H63" i="59"/>
  <c r="H108" i="59"/>
  <c r="H107" i="59"/>
  <c r="I29" i="60"/>
  <c r="N188" i="60"/>
  <c r="N168" i="60"/>
  <c r="N153" i="60"/>
  <c r="I29" i="61"/>
  <c r="I32" i="61"/>
  <c r="I28" i="61"/>
  <c r="I26" i="61"/>
  <c r="N71" i="61"/>
  <c r="I32" i="49"/>
  <c r="I28" i="49"/>
  <c r="I26" i="49"/>
  <c r="M32" i="49"/>
  <c r="M28" i="49"/>
  <c r="M26" i="49"/>
  <c r="N32" i="47"/>
  <c r="K150" i="47"/>
  <c r="O152" i="47"/>
  <c r="I169" i="47"/>
  <c r="J169" i="47"/>
  <c r="N169" i="47"/>
  <c r="N204" i="47"/>
  <c r="N168" i="47"/>
  <c r="N153" i="47"/>
  <c r="O175" i="47"/>
  <c r="O183" i="47"/>
  <c r="K188" i="47"/>
  <c r="K168" i="47"/>
  <c r="K153" i="47"/>
  <c r="O193" i="47"/>
  <c r="L188" i="47"/>
  <c r="L204" i="47"/>
  <c r="L168" i="47"/>
  <c r="L153" i="47"/>
  <c r="O203" i="47"/>
  <c r="I204" i="47"/>
  <c r="O209" i="47"/>
  <c r="O215" i="47"/>
  <c r="O220" i="47"/>
  <c r="O204" i="47"/>
  <c r="L9" i="48"/>
  <c r="L8" i="48"/>
  <c r="N223" i="48"/>
  <c r="O21" i="48"/>
  <c r="O25" i="48"/>
  <c r="K32" i="48"/>
  <c r="O34" i="48"/>
  <c r="J37" i="48"/>
  <c r="O40" i="48"/>
  <c r="O44" i="48"/>
  <c r="O37" i="48"/>
  <c r="J47" i="48"/>
  <c r="O50" i="48"/>
  <c r="O54" i="48"/>
  <c r="J56" i="48"/>
  <c r="O59" i="48"/>
  <c r="O56" i="48"/>
  <c r="O64" i="48"/>
  <c r="J71" i="48"/>
  <c r="O74" i="48"/>
  <c r="O79" i="48"/>
  <c r="J86" i="48"/>
  <c r="O95" i="48"/>
  <c r="O99" i="48"/>
  <c r="O94" i="48"/>
  <c r="O111" i="48"/>
  <c r="M107" i="48"/>
  <c r="M101" i="48"/>
  <c r="O128" i="48"/>
  <c r="J132" i="48"/>
  <c r="N132" i="48"/>
  <c r="O175" i="48"/>
  <c r="O178" i="48"/>
  <c r="O181" i="48"/>
  <c r="O186" i="48"/>
  <c r="I188" i="48"/>
  <c r="M188" i="48"/>
  <c r="O198" i="48"/>
  <c r="O209" i="48"/>
  <c r="O213" i="48"/>
  <c r="O220" i="48"/>
  <c r="J9" i="49"/>
  <c r="J8" i="49"/>
  <c r="J28" i="49"/>
  <c r="J26" i="49"/>
  <c r="J7" i="49"/>
  <c r="N9" i="49"/>
  <c r="N8" i="49"/>
  <c r="H9" i="49"/>
  <c r="H8" i="49"/>
  <c r="L9" i="49"/>
  <c r="L8" i="49"/>
  <c r="K17" i="49"/>
  <c r="K29" i="49"/>
  <c r="K28" i="49"/>
  <c r="K26" i="49"/>
  <c r="K7" i="49"/>
  <c r="O19" i="49"/>
  <c r="O23" i="49"/>
  <c r="O17" i="49"/>
  <c r="L17" i="49"/>
  <c r="I17" i="49"/>
  <c r="M17" i="49"/>
  <c r="M7" i="49"/>
  <c r="O31" i="49"/>
  <c r="L29" i="49"/>
  <c r="L28" i="49"/>
  <c r="L26" i="49"/>
  <c r="O38" i="49"/>
  <c r="L37" i="49"/>
  <c r="J37" i="49"/>
  <c r="N37" i="49"/>
  <c r="O42" i="49"/>
  <c r="O48" i="49"/>
  <c r="L47" i="49"/>
  <c r="J47" i="49"/>
  <c r="N47" i="49"/>
  <c r="O52" i="49"/>
  <c r="O57" i="49"/>
  <c r="O56" i="49"/>
  <c r="L56" i="49"/>
  <c r="J56" i="49"/>
  <c r="N56" i="49"/>
  <c r="J63" i="49"/>
  <c r="N63" i="49"/>
  <c r="H63" i="49"/>
  <c r="L63" i="49"/>
  <c r="O72" i="49"/>
  <c r="L71" i="49"/>
  <c r="J71" i="49"/>
  <c r="N71" i="49"/>
  <c r="N77" i="49"/>
  <c r="N86" i="49"/>
  <c r="N94" i="49"/>
  <c r="N70" i="49"/>
  <c r="O76" i="49"/>
  <c r="I77" i="49"/>
  <c r="M77" i="49"/>
  <c r="J77" i="49"/>
  <c r="O82" i="49"/>
  <c r="L80" i="49"/>
  <c r="I80" i="49"/>
  <c r="M80" i="49"/>
  <c r="O87" i="49"/>
  <c r="O86" i="49"/>
  <c r="L86" i="49"/>
  <c r="J86" i="49"/>
  <c r="H90" i="49"/>
  <c r="L90" i="49"/>
  <c r="I90" i="49"/>
  <c r="M90" i="49"/>
  <c r="J94" i="49"/>
  <c r="H94" i="49"/>
  <c r="L94" i="49"/>
  <c r="L101" i="49"/>
  <c r="N108" i="49"/>
  <c r="N107" i="49"/>
  <c r="N101" i="49"/>
  <c r="K108" i="49"/>
  <c r="K107" i="49"/>
  <c r="O111" i="49"/>
  <c r="O112" i="49"/>
  <c r="O117" i="49"/>
  <c r="O116" i="49"/>
  <c r="I119" i="49"/>
  <c r="I126" i="49"/>
  <c r="I125" i="49"/>
  <c r="I101" i="49"/>
  <c r="M119" i="49"/>
  <c r="M126" i="49"/>
  <c r="M125" i="49"/>
  <c r="M101" i="49"/>
  <c r="O128" i="49"/>
  <c r="K126" i="49"/>
  <c r="K125" i="49"/>
  <c r="I132" i="49"/>
  <c r="I138" i="49"/>
  <c r="I131" i="49"/>
  <c r="M132" i="49"/>
  <c r="J132" i="49"/>
  <c r="N132" i="49"/>
  <c r="N138" i="49"/>
  <c r="N131" i="49"/>
  <c r="K132" i="49"/>
  <c r="K131" i="49"/>
  <c r="M138" i="49"/>
  <c r="M131" i="49"/>
  <c r="J138" i="49"/>
  <c r="J131" i="49"/>
  <c r="J150" i="49"/>
  <c r="N150" i="49"/>
  <c r="O171" i="49"/>
  <c r="O178" i="49"/>
  <c r="O186" i="49"/>
  <c r="J188" i="49"/>
  <c r="O198" i="49"/>
  <c r="O201" i="49"/>
  <c r="O213" i="49"/>
  <c r="K32" i="50"/>
  <c r="N32" i="51"/>
  <c r="N28" i="51"/>
  <c r="N26" i="51"/>
  <c r="N7" i="51"/>
  <c r="H29" i="54"/>
  <c r="H28" i="54"/>
  <c r="H26" i="54"/>
  <c r="H17" i="54"/>
  <c r="H7" i="54"/>
  <c r="J32" i="52"/>
  <c r="J28" i="52"/>
  <c r="J26" i="52"/>
  <c r="N32" i="52"/>
  <c r="N28" i="52"/>
  <c r="N26" i="52"/>
  <c r="N7" i="52"/>
  <c r="K32" i="53"/>
  <c r="K28" i="53"/>
  <c r="K26" i="53"/>
  <c r="K7" i="53"/>
  <c r="K32" i="54"/>
  <c r="K28" i="54"/>
  <c r="K26" i="54"/>
  <c r="K7" i="54"/>
  <c r="L169" i="54"/>
  <c r="O173" i="54"/>
  <c r="O178" i="54"/>
  <c r="O181" i="54"/>
  <c r="O185" i="54"/>
  <c r="O186" i="54"/>
  <c r="J188" i="54"/>
  <c r="J168" i="54"/>
  <c r="J153" i="54"/>
  <c r="O207" i="54"/>
  <c r="L204" i="54"/>
  <c r="O218" i="54"/>
  <c r="H94" i="58"/>
  <c r="O158" i="58"/>
  <c r="O155" i="58"/>
  <c r="O154" i="58"/>
  <c r="K126" i="60"/>
  <c r="K125" i="60"/>
  <c r="K101" i="60"/>
  <c r="K17" i="55"/>
  <c r="K32" i="55"/>
  <c r="K28" i="55"/>
  <c r="K26" i="55"/>
  <c r="K7" i="55"/>
  <c r="O11" i="55"/>
  <c r="I9" i="55"/>
  <c r="I8" i="55"/>
  <c r="I17" i="55"/>
  <c r="I29" i="55"/>
  <c r="I32" i="55"/>
  <c r="I28" i="55"/>
  <c r="I26" i="55"/>
  <c r="I7" i="55"/>
  <c r="O64" i="55"/>
  <c r="H63" i="55"/>
  <c r="H32" i="56"/>
  <c r="H28" i="56"/>
  <c r="H26" i="56"/>
  <c r="L32" i="56"/>
  <c r="L28" i="56"/>
  <c r="L26" i="56"/>
  <c r="O109" i="56"/>
  <c r="O108" i="56"/>
  <c r="O107" i="56"/>
  <c r="I108" i="56"/>
  <c r="I107" i="56"/>
  <c r="I126" i="56"/>
  <c r="I125" i="56"/>
  <c r="I101" i="56"/>
  <c r="O134" i="56"/>
  <c r="H132" i="56"/>
  <c r="H77" i="58"/>
  <c r="O79" i="58"/>
  <c r="O128" i="58"/>
  <c r="H126" i="58"/>
  <c r="H125" i="58"/>
  <c r="O40" i="61"/>
  <c r="H37" i="61"/>
  <c r="O48" i="61"/>
  <c r="J47" i="61"/>
  <c r="J150" i="51"/>
  <c r="N150" i="51"/>
  <c r="O171" i="51"/>
  <c r="L169" i="51"/>
  <c r="L188" i="51"/>
  <c r="L204" i="51"/>
  <c r="L168" i="51"/>
  <c r="L153" i="51"/>
  <c r="I169" i="51"/>
  <c r="I204" i="51"/>
  <c r="I168" i="51"/>
  <c r="M169" i="51"/>
  <c r="N169" i="51"/>
  <c r="O177" i="51"/>
  <c r="O178" i="51"/>
  <c r="O185" i="51"/>
  <c r="O186" i="51"/>
  <c r="J188" i="51"/>
  <c r="J168" i="51"/>
  <c r="J153" i="51"/>
  <c r="N188" i="51"/>
  <c r="O196" i="51"/>
  <c r="O198" i="51"/>
  <c r="O188" i="51"/>
  <c r="H204" i="51"/>
  <c r="M204" i="51"/>
  <c r="O213" i="51"/>
  <c r="O218" i="51"/>
  <c r="I155" i="52"/>
  <c r="I154" i="52"/>
  <c r="I155" i="53"/>
  <c r="I154" i="53"/>
  <c r="I169" i="53"/>
  <c r="I204" i="53"/>
  <c r="I168" i="53"/>
  <c r="I153" i="53"/>
  <c r="I155" i="54"/>
  <c r="I154" i="54"/>
  <c r="M32" i="52"/>
  <c r="J32" i="53"/>
  <c r="N32" i="53"/>
  <c r="N28" i="53"/>
  <c r="N26" i="53"/>
  <c r="K150" i="53"/>
  <c r="O152" i="53"/>
  <c r="J169" i="53"/>
  <c r="J204" i="53"/>
  <c r="J168" i="53"/>
  <c r="J153" i="53"/>
  <c r="N169" i="53"/>
  <c r="N204" i="53"/>
  <c r="N168" i="53"/>
  <c r="N153" i="53"/>
  <c r="O175" i="53"/>
  <c r="O183" i="53"/>
  <c r="K188" i="53"/>
  <c r="O193" i="53"/>
  <c r="L188" i="53"/>
  <c r="O203" i="53"/>
  <c r="K204" i="53"/>
  <c r="K168" i="53"/>
  <c r="K153" i="53"/>
  <c r="O215" i="53"/>
  <c r="O220" i="53"/>
  <c r="N32" i="54"/>
  <c r="N28" i="54"/>
  <c r="N26" i="54"/>
  <c r="N7" i="54"/>
  <c r="N80" i="54"/>
  <c r="N70" i="54"/>
  <c r="N36" i="54"/>
  <c r="J108" i="61"/>
  <c r="J107" i="61"/>
  <c r="J126" i="61"/>
  <c r="J125" i="61"/>
  <c r="J101" i="61"/>
  <c r="J28" i="55"/>
  <c r="J26" i="55"/>
  <c r="H9" i="55"/>
  <c r="H8" i="55"/>
  <c r="L9" i="55"/>
  <c r="L8" i="55"/>
  <c r="O12" i="55"/>
  <c r="O18" i="55"/>
  <c r="O19" i="55"/>
  <c r="M29" i="55"/>
  <c r="M32" i="55"/>
  <c r="M28" i="55"/>
  <c r="M26" i="55"/>
  <c r="M9" i="55"/>
  <c r="M8" i="55"/>
  <c r="M7" i="55"/>
  <c r="O35" i="55"/>
  <c r="O38" i="55"/>
  <c r="O40" i="55"/>
  <c r="O41" i="55"/>
  <c r="O43" i="55"/>
  <c r="O37" i="55"/>
  <c r="N37" i="55"/>
  <c r="N47" i="55"/>
  <c r="O52" i="55"/>
  <c r="J56" i="55"/>
  <c r="N56" i="55"/>
  <c r="L63" i="55"/>
  <c r="O65" i="55"/>
  <c r="J71" i="55"/>
  <c r="J80" i="55"/>
  <c r="J86" i="55"/>
  <c r="J90" i="55"/>
  <c r="J70" i="55"/>
  <c r="J36" i="55"/>
  <c r="N71" i="55"/>
  <c r="O76" i="55"/>
  <c r="K77" i="55"/>
  <c r="O81" i="55"/>
  <c r="O82" i="55"/>
  <c r="O84" i="55"/>
  <c r="O85" i="55"/>
  <c r="O80" i="55"/>
  <c r="K80" i="55"/>
  <c r="O91" i="55"/>
  <c r="M90" i="55"/>
  <c r="L94" i="55"/>
  <c r="O96" i="55"/>
  <c r="O98" i="55"/>
  <c r="O94" i="55"/>
  <c r="H108" i="55"/>
  <c r="H107" i="55"/>
  <c r="L108" i="55"/>
  <c r="L107" i="55"/>
  <c r="J108" i="55"/>
  <c r="K126" i="55"/>
  <c r="K125" i="55"/>
  <c r="O129" i="55"/>
  <c r="N132" i="55"/>
  <c r="N138" i="55"/>
  <c r="N131" i="55"/>
  <c r="O137" i="55"/>
  <c r="K138" i="55"/>
  <c r="M138" i="55"/>
  <c r="I150" i="55"/>
  <c r="M150" i="55"/>
  <c r="O152" i="55"/>
  <c r="K169" i="55"/>
  <c r="O175" i="55"/>
  <c r="I188" i="55"/>
  <c r="O203" i="55"/>
  <c r="I204" i="55"/>
  <c r="I169" i="55"/>
  <c r="I168" i="55"/>
  <c r="I9" i="56"/>
  <c r="I8" i="56"/>
  <c r="I7" i="56"/>
  <c r="M9" i="56"/>
  <c r="M8" i="56"/>
  <c r="J9" i="56"/>
  <c r="J8" i="56"/>
  <c r="N9" i="56"/>
  <c r="N8" i="56"/>
  <c r="N17" i="56"/>
  <c r="N29" i="56"/>
  <c r="N32" i="56"/>
  <c r="N28" i="56"/>
  <c r="N26" i="56"/>
  <c r="N7" i="56"/>
  <c r="K9" i="56"/>
  <c r="K8" i="56"/>
  <c r="K7" i="56"/>
  <c r="J17" i="56"/>
  <c r="L17" i="56"/>
  <c r="J29" i="56"/>
  <c r="J32" i="56"/>
  <c r="J28" i="56"/>
  <c r="J26" i="56"/>
  <c r="H37" i="56"/>
  <c r="L37" i="56"/>
  <c r="I37" i="56"/>
  <c r="M37" i="56"/>
  <c r="H47" i="56"/>
  <c r="L47" i="56"/>
  <c r="I47" i="56"/>
  <c r="M47" i="56"/>
  <c r="H56" i="56"/>
  <c r="L56" i="56"/>
  <c r="I56" i="56"/>
  <c r="M56" i="56"/>
  <c r="I63" i="56"/>
  <c r="M63" i="56"/>
  <c r="J63" i="56"/>
  <c r="J80" i="56"/>
  <c r="J90" i="56"/>
  <c r="J94" i="56"/>
  <c r="J70" i="56"/>
  <c r="J36" i="56"/>
  <c r="N63" i="56"/>
  <c r="N80" i="56"/>
  <c r="N90" i="56"/>
  <c r="N94" i="56"/>
  <c r="N70" i="56"/>
  <c r="N36" i="56"/>
  <c r="H71" i="56"/>
  <c r="L71" i="56"/>
  <c r="I71" i="56"/>
  <c r="M71" i="56"/>
  <c r="H77" i="56"/>
  <c r="L77" i="56"/>
  <c r="L80" i="56"/>
  <c r="L86" i="56"/>
  <c r="I94" i="56"/>
  <c r="M94" i="56"/>
  <c r="J108" i="56"/>
  <c r="J107" i="56"/>
  <c r="K108" i="56"/>
  <c r="K107" i="56"/>
  <c r="L108" i="56"/>
  <c r="L107" i="56"/>
  <c r="L126" i="56"/>
  <c r="L125" i="56"/>
  <c r="L101" i="56"/>
  <c r="L119" i="56"/>
  <c r="M126" i="56"/>
  <c r="M125" i="56"/>
  <c r="K132" i="56"/>
  <c r="K131" i="56"/>
  <c r="I132" i="56"/>
  <c r="M132" i="56"/>
  <c r="O136" i="56"/>
  <c r="L138" i="56"/>
  <c r="L131" i="56"/>
  <c r="M138" i="56"/>
  <c r="J138" i="56"/>
  <c r="J131" i="56"/>
  <c r="N138" i="56"/>
  <c r="N131" i="56"/>
  <c r="M150" i="56"/>
  <c r="O175" i="56"/>
  <c r="O183" i="56"/>
  <c r="O191" i="56"/>
  <c r="O201" i="56"/>
  <c r="O213" i="56"/>
  <c r="O215" i="56"/>
  <c r="M29" i="58"/>
  <c r="M32" i="58"/>
  <c r="M28" i="58"/>
  <c r="M26" i="58"/>
  <c r="K32" i="58"/>
  <c r="K28" i="58"/>
  <c r="K26" i="58"/>
  <c r="K9" i="58"/>
  <c r="K8" i="58"/>
  <c r="K7" i="58"/>
  <c r="J47" i="58"/>
  <c r="J56" i="58"/>
  <c r="H63" i="58"/>
  <c r="J71" i="58"/>
  <c r="J86" i="58"/>
  <c r="N86" i="58"/>
  <c r="N77" i="58"/>
  <c r="N80" i="58"/>
  <c r="N90" i="58"/>
  <c r="N94" i="58"/>
  <c r="N70" i="58"/>
  <c r="N63" i="58"/>
  <c r="N36" i="58"/>
  <c r="H108" i="58"/>
  <c r="H107" i="58"/>
  <c r="K119" i="58"/>
  <c r="K32" i="57"/>
  <c r="H37" i="57"/>
  <c r="J47" i="57"/>
  <c r="J36" i="57"/>
  <c r="N94" i="57"/>
  <c r="N70" i="57"/>
  <c r="N36" i="57"/>
  <c r="L150" i="57"/>
  <c r="J169" i="57"/>
  <c r="J188" i="57"/>
  <c r="J204" i="57"/>
  <c r="J168" i="57"/>
  <c r="J153" i="57"/>
  <c r="N169" i="57"/>
  <c r="K169" i="57"/>
  <c r="L169" i="57"/>
  <c r="I169" i="57"/>
  <c r="I188" i="57"/>
  <c r="I168" i="57"/>
  <c r="I153" i="57"/>
  <c r="L188" i="57"/>
  <c r="M188" i="57"/>
  <c r="N188" i="57"/>
  <c r="K188" i="57"/>
  <c r="O207" i="57"/>
  <c r="K204" i="57"/>
  <c r="H204" i="57"/>
  <c r="L204" i="57"/>
  <c r="O12" i="59"/>
  <c r="I17" i="59"/>
  <c r="O19" i="59"/>
  <c r="O20" i="59"/>
  <c r="O21" i="59"/>
  <c r="O23" i="59"/>
  <c r="O24" i="59"/>
  <c r="O25" i="59"/>
  <c r="O17" i="59"/>
  <c r="I29" i="59"/>
  <c r="I32" i="59"/>
  <c r="I28" i="59"/>
  <c r="I26" i="59"/>
  <c r="I7" i="59"/>
  <c r="O31" i="59"/>
  <c r="K32" i="59"/>
  <c r="O38" i="59"/>
  <c r="O39" i="59"/>
  <c r="O40" i="59"/>
  <c r="O42" i="59"/>
  <c r="O43" i="59"/>
  <c r="O44" i="59"/>
  <c r="O37" i="59"/>
  <c r="K37" i="59"/>
  <c r="O48" i="59"/>
  <c r="O52" i="59"/>
  <c r="O57" i="59"/>
  <c r="O61" i="59"/>
  <c r="M63" i="59"/>
  <c r="O66" i="59"/>
  <c r="O72" i="59"/>
  <c r="K71" i="59"/>
  <c r="K77" i="59"/>
  <c r="K80" i="59"/>
  <c r="K90" i="59"/>
  <c r="K94" i="59"/>
  <c r="K70" i="59"/>
  <c r="K63" i="59"/>
  <c r="K36" i="59"/>
  <c r="O76" i="59"/>
  <c r="O82" i="59"/>
  <c r="O87" i="59"/>
  <c r="N86" i="59"/>
  <c r="I90" i="59"/>
  <c r="M90" i="59"/>
  <c r="O92" i="59"/>
  <c r="I94" i="59"/>
  <c r="M94" i="59"/>
  <c r="O97" i="59"/>
  <c r="I108" i="59"/>
  <c r="I107" i="59"/>
  <c r="M108" i="59"/>
  <c r="O111" i="59"/>
  <c r="M107" i="59"/>
  <c r="O117" i="59"/>
  <c r="O116" i="59"/>
  <c r="K119" i="59"/>
  <c r="K126" i="59"/>
  <c r="K125" i="59"/>
  <c r="O133" i="59"/>
  <c r="K132" i="59"/>
  <c r="K138" i="59"/>
  <c r="K131" i="59"/>
  <c r="O137" i="59"/>
  <c r="O142" i="59"/>
  <c r="H150" i="59"/>
  <c r="I9" i="60"/>
  <c r="I8" i="60"/>
  <c r="J28" i="60"/>
  <c r="J26" i="60"/>
  <c r="K32" i="60"/>
  <c r="J56" i="60"/>
  <c r="M63" i="60"/>
  <c r="J71" i="60"/>
  <c r="J77" i="60"/>
  <c r="J86" i="60"/>
  <c r="J90" i="60"/>
  <c r="J70" i="60"/>
  <c r="L71" i="60"/>
  <c r="K77" i="60"/>
  <c r="K119" i="60"/>
  <c r="H126" i="60"/>
  <c r="H125" i="60"/>
  <c r="I138" i="60"/>
  <c r="K169" i="60"/>
  <c r="K168" i="60"/>
  <c r="K153" i="60"/>
  <c r="J188" i="60"/>
  <c r="H204" i="60"/>
  <c r="H9" i="61"/>
  <c r="H8" i="61"/>
  <c r="L9" i="61"/>
  <c r="L8" i="61"/>
  <c r="L17" i="61"/>
  <c r="L32" i="61"/>
  <c r="L28" i="61"/>
  <c r="L26" i="61"/>
  <c r="L7" i="61"/>
  <c r="O12" i="61"/>
  <c r="I17" i="61"/>
  <c r="M17" i="61"/>
  <c r="O19" i="61"/>
  <c r="K17" i="61"/>
  <c r="O23" i="61"/>
  <c r="O30" i="61"/>
  <c r="O31" i="61"/>
  <c r="O29" i="61"/>
  <c r="M29" i="61"/>
  <c r="M32" i="61"/>
  <c r="M28" i="61"/>
  <c r="M26" i="61"/>
  <c r="K32" i="61"/>
  <c r="J37" i="61"/>
  <c r="N37" i="61"/>
  <c r="L37" i="61"/>
  <c r="O41" i="61"/>
  <c r="O46" i="61"/>
  <c r="O45" i="61"/>
  <c r="O52" i="61"/>
  <c r="H63" i="61"/>
  <c r="L63" i="61"/>
  <c r="O65" i="61"/>
  <c r="O64" i="61"/>
  <c r="O63" i="61"/>
  <c r="O72" i="61"/>
  <c r="O76" i="61"/>
  <c r="K77" i="61"/>
  <c r="O81" i="61"/>
  <c r="M80" i="61"/>
  <c r="O87" i="61"/>
  <c r="N86" i="61"/>
  <c r="I90" i="61"/>
  <c r="M90" i="61"/>
  <c r="O92" i="61"/>
  <c r="M94" i="61"/>
  <c r="H108" i="61"/>
  <c r="L108" i="61"/>
  <c r="L107" i="61"/>
  <c r="O110" i="61"/>
  <c r="O111" i="61"/>
  <c r="K119" i="61"/>
  <c r="K126" i="61"/>
  <c r="K125" i="61"/>
  <c r="O129" i="61"/>
  <c r="O133" i="61"/>
  <c r="O134" i="61"/>
  <c r="O135" i="61"/>
  <c r="O137" i="61"/>
  <c r="O132" i="61"/>
  <c r="N132" i="61"/>
  <c r="N131" i="61"/>
  <c r="K138" i="61"/>
  <c r="H150" i="61"/>
  <c r="L204" i="61"/>
  <c r="L188" i="61"/>
  <c r="L168" i="61"/>
  <c r="L153" i="61"/>
  <c r="O33" i="58"/>
  <c r="I155" i="55"/>
  <c r="I154" i="55"/>
  <c r="I153" i="55"/>
  <c r="H107" i="56"/>
  <c r="M108" i="58"/>
  <c r="M107" i="58"/>
  <c r="M101" i="58"/>
  <c r="K28" i="60"/>
  <c r="K26" i="60"/>
  <c r="M80" i="55"/>
  <c r="J9" i="58"/>
  <c r="J8" i="58"/>
  <c r="N9" i="58"/>
  <c r="N8" i="58"/>
  <c r="O12" i="58"/>
  <c r="O13" i="58"/>
  <c r="H17" i="58"/>
  <c r="L17" i="58"/>
  <c r="I17" i="58"/>
  <c r="M17" i="58"/>
  <c r="J17" i="58"/>
  <c r="N17" i="58"/>
  <c r="O23" i="58"/>
  <c r="O24" i="58"/>
  <c r="H29" i="58"/>
  <c r="H32" i="58"/>
  <c r="H28" i="58"/>
  <c r="H26" i="58"/>
  <c r="L29" i="58"/>
  <c r="L32" i="58"/>
  <c r="L28" i="58"/>
  <c r="L26" i="58"/>
  <c r="J28" i="58"/>
  <c r="J26" i="58"/>
  <c r="N28" i="58"/>
  <c r="N26" i="58"/>
  <c r="O38" i="58"/>
  <c r="L37" i="58"/>
  <c r="O39" i="58"/>
  <c r="M37" i="58"/>
  <c r="O42" i="58"/>
  <c r="O43" i="58"/>
  <c r="O48" i="58"/>
  <c r="O49" i="58"/>
  <c r="O51" i="58"/>
  <c r="O52" i="58"/>
  <c r="O53" i="58"/>
  <c r="O55" i="58"/>
  <c r="O47" i="58"/>
  <c r="L47" i="58"/>
  <c r="L56" i="58"/>
  <c r="L71" i="58"/>
  <c r="L80" i="58"/>
  <c r="L86" i="58"/>
  <c r="L90" i="58"/>
  <c r="L70" i="58"/>
  <c r="L36" i="58"/>
  <c r="M47" i="58"/>
  <c r="O57" i="58"/>
  <c r="O58" i="58"/>
  <c r="M56" i="58"/>
  <c r="O62" i="58"/>
  <c r="J63" i="58"/>
  <c r="O66" i="58"/>
  <c r="O67" i="58"/>
  <c r="O72" i="58"/>
  <c r="O73" i="58"/>
  <c r="M71" i="58"/>
  <c r="O76" i="58"/>
  <c r="O78" i="58"/>
  <c r="O77" i="58"/>
  <c r="J77" i="58"/>
  <c r="I80" i="58"/>
  <c r="M80" i="58"/>
  <c r="O87" i="58"/>
  <c r="O88" i="58"/>
  <c r="M86" i="58"/>
  <c r="H90" i="58"/>
  <c r="I90" i="58"/>
  <c r="M90" i="58"/>
  <c r="J94" i="58"/>
  <c r="O97" i="58"/>
  <c r="O98" i="58"/>
  <c r="J108" i="58"/>
  <c r="J107" i="58"/>
  <c r="N108" i="58"/>
  <c r="N107" i="58"/>
  <c r="K108" i="58"/>
  <c r="K107" i="58"/>
  <c r="K126" i="58"/>
  <c r="K125" i="58"/>
  <c r="K101" i="58"/>
  <c r="O111" i="58"/>
  <c r="O112" i="58"/>
  <c r="O117" i="58"/>
  <c r="O116" i="58"/>
  <c r="J119" i="58"/>
  <c r="N119" i="58"/>
  <c r="O33" i="55"/>
  <c r="O32" i="55"/>
  <c r="H32" i="55"/>
  <c r="I155" i="61"/>
  <c r="I154" i="61"/>
  <c r="O10" i="55"/>
  <c r="O13" i="55"/>
  <c r="O9" i="55"/>
  <c r="O8" i="55"/>
  <c r="J9" i="55"/>
  <c r="J8" i="55"/>
  <c r="J17" i="55"/>
  <c r="N17" i="55"/>
  <c r="H17" i="55"/>
  <c r="L17" i="55"/>
  <c r="O22" i="55"/>
  <c r="O24" i="55"/>
  <c r="O25" i="55"/>
  <c r="O30" i="55"/>
  <c r="O29" i="55"/>
  <c r="N29" i="55"/>
  <c r="N28" i="55"/>
  <c r="N26" i="55"/>
  <c r="L32" i="55"/>
  <c r="K37" i="55"/>
  <c r="H37" i="55"/>
  <c r="M37" i="55"/>
  <c r="K47" i="55"/>
  <c r="H47" i="55"/>
  <c r="L47" i="55"/>
  <c r="O50" i="55"/>
  <c r="O47" i="55"/>
  <c r="M47" i="55"/>
  <c r="K56" i="55"/>
  <c r="H56" i="55"/>
  <c r="I56" i="55"/>
  <c r="M56" i="55"/>
  <c r="M63" i="55"/>
  <c r="N63" i="55"/>
  <c r="K63" i="55"/>
  <c r="K71" i="55"/>
  <c r="K86" i="55"/>
  <c r="K90" i="55"/>
  <c r="K94" i="55"/>
  <c r="K70" i="55"/>
  <c r="O73" i="55"/>
  <c r="L71" i="55"/>
  <c r="L77" i="55"/>
  <c r="L80" i="55"/>
  <c r="L86" i="55"/>
  <c r="L70" i="55"/>
  <c r="I71" i="55"/>
  <c r="M71" i="55"/>
  <c r="H80" i="55"/>
  <c r="O88" i="55"/>
  <c r="O89" i="55"/>
  <c r="O86" i="55"/>
  <c r="I86" i="55"/>
  <c r="N90" i="55"/>
  <c r="H90" i="55"/>
  <c r="I94" i="55"/>
  <c r="N94" i="55"/>
  <c r="O109" i="55"/>
  <c r="M108" i="55"/>
  <c r="M107" i="55"/>
  <c r="O110" i="55"/>
  <c r="N108" i="55"/>
  <c r="N107" i="55"/>
  <c r="K108" i="55"/>
  <c r="K107" i="55"/>
  <c r="K101" i="55"/>
  <c r="H119" i="55"/>
  <c r="N101" i="55"/>
  <c r="O127" i="55"/>
  <c r="L126" i="55"/>
  <c r="L125" i="55"/>
  <c r="I126" i="55"/>
  <c r="I125" i="55"/>
  <c r="J126" i="55"/>
  <c r="J125" i="55"/>
  <c r="K132" i="55"/>
  <c r="K131" i="55"/>
  <c r="L132" i="55"/>
  <c r="I132" i="55"/>
  <c r="I138" i="55"/>
  <c r="I131" i="55"/>
  <c r="M132" i="55"/>
  <c r="J132" i="55"/>
  <c r="L138" i="55"/>
  <c r="O141" i="55"/>
  <c r="J150" i="55"/>
  <c r="H169" i="55"/>
  <c r="M169" i="55"/>
  <c r="M188" i="55"/>
  <c r="M204" i="55"/>
  <c r="M168" i="55"/>
  <c r="M153" i="55"/>
  <c r="J169" i="55"/>
  <c r="N169" i="55"/>
  <c r="O178" i="55"/>
  <c r="O185" i="55"/>
  <c r="O191" i="55"/>
  <c r="N188" i="55"/>
  <c r="K188" i="55"/>
  <c r="O196" i="55"/>
  <c r="O207" i="55"/>
  <c r="L204" i="55"/>
  <c r="L168" i="55"/>
  <c r="L153" i="55"/>
  <c r="O209" i="55"/>
  <c r="J204" i="55"/>
  <c r="N204" i="55"/>
  <c r="O218" i="55"/>
  <c r="M32" i="56"/>
  <c r="M28" i="56"/>
  <c r="M26" i="56"/>
  <c r="J150" i="56"/>
  <c r="N150" i="56"/>
  <c r="H169" i="56"/>
  <c r="O173" i="56"/>
  <c r="N169" i="56"/>
  <c r="J188" i="56"/>
  <c r="N188" i="56"/>
  <c r="K188" i="56"/>
  <c r="K204" i="56"/>
  <c r="K168" i="56"/>
  <c r="K153" i="56"/>
  <c r="H188" i="56"/>
  <c r="L188" i="56"/>
  <c r="O207" i="56"/>
  <c r="M204" i="56"/>
  <c r="M168" i="56"/>
  <c r="M153" i="56"/>
  <c r="J204" i="56"/>
  <c r="N204" i="56"/>
  <c r="O218" i="56"/>
  <c r="I9" i="58"/>
  <c r="I8" i="58"/>
  <c r="I7" i="58"/>
  <c r="M9" i="58"/>
  <c r="M8" i="58"/>
  <c r="O11" i="58"/>
  <c r="O9" i="58"/>
  <c r="O8" i="58"/>
  <c r="O18" i="58"/>
  <c r="O22" i="58"/>
  <c r="O30" i="58"/>
  <c r="O35" i="58"/>
  <c r="O41" i="58"/>
  <c r="O46" i="58"/>
  <c r="O45" i="58"/>
  <c r="O60" i="58"/>
  <c r="I63" i="58"/>
  <c r="M63" i="58"/>
  <c r="O65" i="58"/>
  <c r="O69" i="58"/>
  <c r="O63" i="58"/>
  <c r="O75" i="58"/>
  <c r="O81" i="58"/>
  <c r="O85" i="58"/>
  <c r="O91" i="58"/>
  <c r="I94" i="58"/>
  <c r="M94" i="58"/>
  <c r="O96" i="58"/>
  <c r="O100" i="58"/>
  <c r="O94" i="58"/>
  <c r="I108" i="58"/>
  <c r="I107" i="58"/>
  <c r="I101" i="58"/>
  <c r="O110" i="58"/>
  <c r="O108" i="58"/>
  <c r="O115" i="58"/>
  <c r="O114" i="58"/>
  <c r="O107" i="58"/>
  <c r="O129" i="58"/>
  <c r="O33" i="60"/>
  <c r="I32" i="60"/>
  <c r="M32" i="60"/>
  <c r="M28" i="60"/>
  <c r="M26" i="60"/>
  <c r="O127" i="58"/>
  <c r="J126" i="58"/>
  <c r="J125" i="58"/>
  <c r="N126" i="58"/>
  <c r="N125" i="58"/>
  <c r="L132" i="58"/>
  <c r="L138" i="58"/>
  <c r="L131" i="58"/>
  <c r="O134" i="58"/>
  <c r="O136" i="58"/>
  <c r="O137" i="58"/>
  <c r="O132" i="58"/>
  <c r="M132" i="58"/>
  <c r="M131" i="58"/>
  <c r="O139" i="58"/>
  <c r="J138" i="58"/>
  <c r="J131" i="58"/>
  <c r="N138" i="58"/>
  <c r="N131" i="58"/>
  <c r="K138" i="58"/>
  <c r="O142" i="58"/>
  <c r="O143" i="58"/>
  <c r="O151" i="58"/>
  <c r="H169" i="58"/>
  <c r="O172" i="58"/>
  <c r="O173" i="58"/>
  <c r="O191" i="58"/>
  <c r="O201" i="58"/>
  <c r="O188" i="58"/>
  <c r="O207" i="58"/>
  <c r="O218" i="58"/>
  <c r="O209" i="58"/>
  <c r="O204" i="58"/>
  <c r="O10" i="57"/>
  <c r="O12" i="57"/>
  <c r="K29" i="57"/>
  <c r="K28" i="57"/>
  <c r="K26" i="57"/>
  <c r="K7" i="57"/>
  <c r="O31" i="57"/>
  <c r="I32" i="57"/>
  <c r="I28" i="57"/>
  <c r="I26" i="57"/>
  <c r="I7" i="57"/>
  <c r="M32" i="57"/>
  <c r="M28" i="57"/>
  <c r="M26" i="57"/>
  <c r="M7" i="57"/>
  <c r="O34" i="57"/>
  <c r="O38" i="57"/>
  <c r="L37" i="57"/>
  <c r="O42" i="57"/>
  <c r="O43" i="57"/>
  <c r="H47" i="57"/>
  <c r="L47" i="57"/>
  <c r="O50" i="57"/>
  <c r="O52" i="57"/>
  <c r="O57" i="57"/>
  <c r="O66" i="57"/>
  <c r="O68" i="57"/>
  <c r="O72" i="57"/>
  <c r="O73" i="57"/>
  <c r="O78" i="57"/>
  <c r="O77" i="57"/>
  <c r="M77" i="57"/>
  <c r="O82" i="57"/>
  <c r="M80" i="57"/>
  <c r="O84" i="57"/>
  <c r="O80" i="57"/>
  <c r="O87" i="57"/>
  <c r="O92" i="57"/>
  <c r="O95" i="57"/>
  <c r="O97" i="57"/>
  <c r="O98" i="57"/>
  <c r="O99" i="57"/>
  <c r="O94" i="57"/>
  <c r="O109" i="57"/>
  <c r="O111" i="57"/>
  <c r="O112" i="57"/>
  <c r="M119" i="57"/>
  <c r="O127" i="57"/>
  <c r="O126" i="57"/>
  <c r="O125" i="57"/>
  <c r="M126" i="57"/>
  <c r="M125" i="57"/>
  <c r="O137" i="57"/>
  <c r="M138" i="57"/>
  <c r="M131" i="57"/>
  <c r="O142" i="57"/>
  <c r="K150" i="59"/>
  <c r="H169" i="59"/>
  <c r="L169" i="59"/>
  <c r="M169" i="59"/>
  <c r="M188" i="59"/>
  <c r="M204" i="59"/>
  <c r="M168" i="59"/>
  <c r="M153" i="59"/>
  <c r="J169" i="59"/>
  <c r="J188" i="59"/>
  <c r="J168" i="59"/>
  <c r="J153" i="59"/>
  <c r="N169" i="59"/>
  <c r="N188" i="59"/>
  <c r="N168" i="59"/>
  <c r="N153" i="59"/>
  <c r="O178" i="59"/>
  <c r="O185" i="59"/>
  <c r="O186" i="59"/>
  <c r="O196" i="59"/>
  <c r="L188" i="59"/>
  <c r="O198" i="59"/>
  <c r="H204" i="59"/>
  <c r="L204" i="59"/>
  <c r="I204" i="59"/>
  <c r="O213" i="59"/>
  <c r="O218" i="59"/>
  <c r="J9" i="60"/>
  <c r="J8" i="60"/>
  <c r="J17" i="60"/>
  <c r="J7" i="60"/>
  <c r="N9" i="60"/>
  <c r="N8" i="60"/>
  <c r="K9" i="60"/>
  <c r="K8" i="60"/>
  <c r="H9" i="60"/>
  <c r="H8" i="60"/>
  <c r="H29" i="60"/>
  <c r="H32" i="60"/>
  <c r="H28" i="60"/>
  <c r="H26" i="60"/>
  <c r="H7" i="60"/>
  <c r="L9" i="60"/>
  <c r="L8" i="60"/>
  <c r="L29" i="60"/>
  <c r="L32" i="60"/>
  <c r="L28" i="60"/>
  <c r="L26" i="60"/>
  <c r="L7" i="60"/>
  <c r="K17" i="60"/>
  <c r="K7" i="60"/>
  <c r="I17" i="60"/>
  <c r="M17" i="60"/>
  <c r="M7" i="60"/>
  <c r="O31" i="60"/>
  <c r="O29" i="60"/>
  <c r="N28" i="60"/>
  <c r="N26" i="60"/>
  <c r="H37" i="60"/>
  <c r="L37" i="60"/>
  <c r="I37" i="60"/>
  <c r="M37" i="60"/>
  <c r="J37" i="60"/>
  <c r="N37" i="60"/>
  <c r="O48" i="60"/>
  <c r="L47" i="60"/>
  <c r="O49" i="60"/>
  <c r="O51" i="60"/>
  <c r="O52" i="60"/>
  <c r="O53" i="60"/>
  <c r="O55" i="60"/>
  <c r="O47" i="60"/>
  <c r="J47" i="60"/>
  <c r="N47" i="60"/>
  <c r="H56" i="60"/>
  <c r="L56" i="60"/>
  <c r="I56" i="60"/>
  <c r="M56" i="60"/>
  <c r="O59" i="60"/>
  <c r="N56" i="60"/>
  <c r="O62" i="60"/>
  <c r="J63" i="60"/>
  <c r="N63" i="60"/>
  <c r="K63" i="60"/>
  <c r="H63" i="60"/>
  <c r="L63" i="60"/>
  <c r="O67" i="60"/>
  <c r="H71" i="60"/>
  <c r="I71" i="60"/>
  <c r="M71" i="60"/>
  <c r="N71" i="60"/>
  <c r="K71" i="60"/>
  <c r="M77" i="60"/>
  <c r="O82" i="60"/>
  <c r="L80" i="60"/>
  <c r="L77" i="60"/>
  <c r="L86" i="60"/>
  <c r="L94" i="60"/>
  <c r="L70" i="60"/>
  <c r="L36" i="60"/>
  <c r="I80" i="60"/>
  <c r="M80" i="60"/>
  <c r="H86" i="60"/>
  <c r="I86" i="60"/>
  <c r="M86" i="60"/>
  <c r="O89" i="60"/>
  <c r="N86" i="60"/>
  <c r="K90" i="60"/>
  <c r="I90" i="60"/>
  <c r="M90" i="60"/>
  <c r="N94" i="60"/>
  <c r="K94" i="60"/>
  <c r="H94" i="60"/>
  <c r="I94" i="60"/>
  <c r="M94" i="60"/>
  <c r="M108" i="60"/>
  <c r="M107" i="60"/>
  <c r="M101" i="60"/>
  <c r="J108" i="60"/>
  <c r="J107" i="60"/>
  <c r="N108" i="60"/>
  <c r="O111" i="60"/>
  <c r="L108" i="60"/>
  <c r="L107" i="60"/>
  <c r="L101" i="60"/>
  <c r="I108" i="60"/>
  <c r="I107" i="60"/>
  <c r="J119" i="60"/>
  <c r="N119" i="60"/>
  <c r="J126" i="60"/>
  <c r="J125" i="60"/>
  <c r="N126" i="60"/>
  <c r="N125" i="60"/>
  <c r="L132" i="60"/>
  <c r="J132" i="60"/>
  <c r="N132" i="60"/>
  <c r="H132" i="60"/>
  <c r="O139" i="60"/>
  <c r="J138" i="60"/>
  <c r="N138" i="60"/>
  <c r="K138" i="60"/>
  <c r="O142" i="60"/>
  <c r="L138" i="60"/>
  <c r="O144" i="60"/>
  <c r="O151" i="60"/>
  <c r="H169" i="60"/>
  <c r="O191" i="60"/>
  <c r="O198" i="60"/>
  <c r="O201" i="60"/>
  <c r="O209" i="60"/>
  <c r="O213" i="60"/>
  <c r="O220" i="60"/>
  <c r="O204" i="60"/>
  <c r="K150" i="61"/>
  <c r="H169" i="61"/>
  <c r="I169" i="61"/>
  <c r="J169" i="61"/>
  <c r="N169" i="61"/>
  <c r="N188" i="61"/>
  <c r="N204" i="61"/>
  <c r="N168" i="61"/>
  <c r="N153" i="61"/>
  <c r="K169" i="61"/>
  <c r="J188" i="61"/>
  <c r="K188" i="61"/>
  <c r="H188" i="61"/>
  <c r="O207" i="61"/>
  <c r="I204" i="61"/>
  <c r="M204" i="61"/>
  <c r="M168" i="61"/>
  <c r="M153" i="61"/>
  <c r="J204" i="61"/>
  <c r="K204" i="61"/>
  <c r="O218" i="61"/>
  <c r="O33" i="59"/>
  <c r="H32" i="59"/>
  <c r="L32" i="59"/>
  <c r="L28" i="59"/>
  <c r="L26" i="59"/>
  <c r="O33" i="61"/>
  <c r="H32" i="61"/>
  <c r="K132" i="58"/>
  <c r="K131" i="58"/>
  <c r="H132" i="58"/>
  <c r="O141" i="58"/>
  <c r="H32" i="57"/>
  <c r="L32" i="57"/>
  <c r="O10" i="59"/>
  <c r="J9" i="59"/>
  <c r="J8" i="59"/>
  <c r="N9" i="59"/>
  <c r="N8" i="59"/>
  <c r="K9" i="59"/>
  <c r="K8" i="59"/>
  <c r="O13" i="59"/>
  <c r="L9" i="59"/>
  <c r="L8" i="59"/>
  <c r="J17" i="59"/>
  <c r="N17" i="59"/>
  <c r="K17" i="59"/>
  <c r="J29" i="59"/>
  <c r="J28" i="59"/>
  <c r="J26" i="59"/>
  <c r="N29" i="59"/>
  <c r="N28" i="59"/>
  <c r="N26" i="59"/>
  <c r="K28" i="59"/>
  <c r="K26" i="59"/>
  <c r="O34" i="59"/>
  <c r="L37" i="59"/>
  <c r="I37" i="59"/>
  <c r="M37" i="59"/>
  <c r="J37" i="59"/>
  <c r="N37" i="59"/>
  <c r="O49" i="59"/>
  <c r="O50" i="59"/>
  <c r="O54" i="59"/>
  <c r="O47" i="59"/>
  <c r="L47" i="59"/>
  <c r="I47" i="59"/>
  <c r="M47" i="59"/>
  <c r="J47" i="59"/>
  <c r="N47" i="59"/>
  <c r="N223" i="59"/>
  <c r="O58" i="59"/>
  <c r="L56" i="59"/>
  <c r="I56" i="59"/>
  <c r="M56" i="59"/>
  <c r="J56" i="59"/>
  <c r="N56" i="59"/>
  <c r="O64" i="59"/>
  <c r="J63" i="59"/>
  <c r="N63" i="59"/>
  <c r="L63" i="59"/>
  <c r="O73" i="59"/>
  <c r="L71" i="59"/>
  <c r="I71" i="59"/>
  <c r="M71" i="59"/>
  <c r="J71" i="59"/>
  <c r="N71" i="59"/>
  <c r="O78" i="59"/>
  <c r="L77" i="59"/>
  <c r="J80" i="59"/>
  <c r="H80" i="59"/>
  <c r="L80" i="59"/>
  <c r="O88" i="59"/>
  <c r="L86" i="59"/>
  <c r="I86" i="59"/>
  <c r="M86" i="59"/>
  <c r="J90" i="59"/>
  <c r="N90" i="59"/>
  <c r="O93" i="59"/>
  <c r="O95" i="59"/>
  <c r="O98" i="59"/>
  <c r="O99" i="59"/>
  <c r="O94" i="59"/>
  <c r="J94" i="59"/>
  <c r="N94" i="59"/>
  <c r="L94" i="59"/>
  <c r="L108" i="59"/>
  <c r="L107" i="59"/>
  <c r="L126" i="59"/>
  <c r="L125" i="59"/>
  <c r="L101" i="59"/>
  <c r="O109" i="59"/>
  <c r="O108" i="59"/>
  <c r="O107" i="59"/>
  <c r="K108" i="59"/>
  <c r="K107" i="59"/>
  <c r="K101" i="59"/>
  <c r="L119" i="59"/>
  <c r="O127" i="59"/>
  <c r="O128" i="59"/>
  <c r="O126" i="59"/>
  <c r="O125" i="59"/>
  <c r="M126" i="59"/>
  <c r="M125" i="59"/>
  <c r="O134" i="59"/>
  <c r="L132" i="59"/>
  <c r="L138" i="59"/>
  <c r="L131" i="59"/>
  <c r="I132" i="59"/>
  <c r="M132" i="59"/>
  <c r="J132" i="59"/>
  <c r="J131" i="59"/>
  <c r="N132" i="59"/>
  <c r="N131" i="59"/>
  <c r="M138" i="59"/>
  <c r="O143" i="59"/>
  <c r="O144" i="59"/>
  <c r="I150" i="59"/>
  <c r="M150" i="59"/>
  <c r="O152" i="59"/>
  <c r="K169" i="59"/>
  <c r="O173" i="59"/>
  <c r="O181" i="59"/>
  <c r="I188" i="59"/>
  <c r="I168" i="59"/>
  <c r="I153" i="59"/>
  <c r="O193" i="59"/>
  <c r="O203" i="59"/>
  <c r="O188" i="59"/>
  <c r="K204" i="59"/>
  <c r="O209" i="59"/>
  <c r="O220" i="59"/>
  <c r="O10" i="60"/>
  <c r="O13" i="60"/>
  <c r="N17" i="60"/>
  <c r="O20" i="60"/>
  <c r="O21" i="60"/>
  <c r="O24" i="60"/>
  <c r="O25" i="60"/>
  <c r="O17" i="60"/>
  <c r="O34" i="60"/>
  <c r="O39" i="60"/>
  <c r="O40" i="60"/>
  <c r="O43" i="60"/>
  <c r="O44" i="60"/>
  <c r="O37" i="60"/>
  <c r="K47" i="60"/>
  <c r="N223" i="60"/>
  <c r="O58" i="60"/>
  <c r="O64" i="60"/>
  <c r="O73" i="60"/>
  <c r="O74" i="60"/>
  <c r="H77" i="60"/>
  <c r="O79" i="60"/>
  <c r="O81" i="60"/>
  <c r="O85" i="60"/>
  <c r="K86" i="60"/>
  <c r="O88" i="60"/>
  <c r="O86" i="60"/>
  <c r="N90" i="60"/>
  <c r="O96" i="60"/>
  <c r="O97" i="60"/>
  <c r="O99" i="60"/>
  <c r="O100" i="60"/>
  <c r="O94" i="60"/>
  <c r="O110" i="60"/>
  <c r="O108" i="60"/>
  <c r="O107" i="60"/>
  <c r="O127" i="60"/>
  <c r="K132" i="60"/>
  <c r="K131" i="60"/>
  <c r="O143" i="60"/>
  <c r="I9" i="61"/>
  <c r="I8" i="61"/>
  <c r="M9" i="61"/>
  <c r="M8" i="61"/>
  <c r="M7" i="61"/>
  <c r="J9" i="61"/>
  <c r="J8" i="61"/>
  <c r="J17" i="61"/>
  <c r="J7" i="61"/>
  <c r="N9" i="61"/>
  <c r="N8" i="61"/>
  <c r="N17" i="61"/>
  <c r="N7" i="61"/>
  <c r="K9" i="61"/>
  <c r="K8" i="61"/>
  <c r="O13" i="61"/>
  <c r="O10" i="61"/>
  <c r="O9" i="61"/>
  <c r="O8" i="61"/>
  <c r="O20" i="61"/>
  <c r="O21" i="61"/>
  <c r="O24" i="61"/>
  <c r="O25" i="61"/>
  <c r="K28" i="61"/>
  <c r="K26" i="61"/>
  <c r="O34" i="61"/>
  <c r="K37" i="61"/>
  <c r="I37" i="61"/>
  <c r="M37" i="61"/>
  <c r="K47" i="61"/>
  <c r="O49" i="61"/>
  <c r="L47" i="61"/>
  <c r="O50" i="61"/>
  <c r="M47" i="61"/>
  <c r="N223" i="61"/>
  <c r="O54" i="61"/>
  <c r="O58" i="61"/>
  <c r="O60" i="61"/>
  <c r="O56" i="61"/>
  <c r="L56" i="61"/>
  <c r="I56" i="61"/>
  <c r="M56" i="61"/>
  <c r="N56" i="61"/>
  <c r="I63" i="61"/>
  <c r="M63" i="61"/>
  <c r="K63" i="61"/>
  <c r="K71" i="61"/>
  <c r="O73" i="61"/>
  <c r="L71" i="61"/>
  <c r="O74" i="61"/>
  <c r="O71" i="61"/>
  <c r="M71" i="61"/>
  <c r="M70" i="61"/>
  <c r="M36" i="61"/>
  <c r="H77" i="61"/>
  <c r="L77" i="61"/>
  <c r="H80" i="61"/>
  <c r="L80" i="61"/>
  <c r="L86" i="61"/>
  <c r="L90" i="61"/>
  <c r="L94" i="61"/>
  <c r="L70" i="61"/>
  <c r="L36" i="61"/>
  <c r="K86" i="61"/>
  <c r="O88" i="61"/>
  <c r="J90" i="61"/>
  <c r="N90" i="61"/>
  <c r="O93" i="61"/>
  <c r="O96" i="61"/>
  <c r="N94" i="61"/>
  <c r="K94" i="61"/>
  <c r="O100" i="61"/>
  <c r="I108" i="61"/>
  <c r="I107" i="61"/>
  <c r="M108" i="61"/>
  <c r="M107" i="61"/>
  <c r="N108" i="61"/>
  <c r="N107" i="61"/>
  <c r="M126" i="61"/>
  <c r="M125" i="61"/>
  <c r="M101" i="61"/>
  <c r="H126" i="61"/>
  <c r="H125" i="61"/>
  <c r="L126" i="61"/>
  <c r="L125" i="61"/>
  <c r="I126" i="61"/>
  <c r="I125" i="61"/>
  <c r="N126" i="61"/>
  <c r="N125" i="61"/>
  <c r="K132" i="61"/>
  <c r="K131" i="61"/>
  <c r="L132" i="61"/>
  <c r="M132" i="61"/>
  <c r="L138" i="61"/>
  <c r="M138" i="61"/>
  <c r="O141" i="61"/>
  <c r="H138" i="61"/>
  <c r="O151" i="61"/>
  <c r="O152" i="61"/>
  <c r="O150" i="61"/>
  <c r="O172" i="61"/>
  <c r="O175" i="61"/>
  <c r="O178" i="61"/>
  <c r="O183" i="61"/>
  <c r="O186" i="61"/>
  <c r="O191" i="61"/>
  <c r="O198" i="61"/>
  <c r="O201" i="61"/>
  <c r="O188" i="61"/>
  <c r="O213" i="61"/>
  <c r="O215" i="61"/>
  <c r="I7" i="61"/>
  <c r="I131" i="60"/>
  <c r="K131" i="54"/>
  <c r="N131" i="54"/>
  <c r="L131" i="53"/>
  <c r="J131" i="53"/>
  <c r="N131" i="53"/>
  <c r="M131" i="52"/>
  <c r="L131" i="52"/>
  <c r="L131" i="51"/>
  <c r="K131" i="51"/>
  <c r="I131" i="51"/>
  <c r="K131" i="47"/>
  <c r="K80" i="60"/>
  <c r="K80" i="48"/>
  <c r="K70" i="48"/>
  <c r="K36" i="48"/>
  <c r="K80" i="50"/>
  <c r="L80" i="50"/>
  <c r="L70" i="50"/>
  <c r="L36" i="50"/>
  <c r="L70" i="51"/>
  <c r="N80" i="55"/>
  <c r="N80" i="59"/>
  <c r="O83" i="61"/>
  <c r="O80" i="61"/>
  <c r="O83" i="49"/>
  <c r="O80" i="49"/>
  <c r="H80" i="58"/>
  <c r="O83" i="47"/>
  <c r="O80" i="47"/>
  <c r="O80" i="52"/>
  <c r="M70" i="55"/>
  <c r="M36" i="55"/>
  <c r="L70" i="59"/>
  <c r="L36" i="59"/>
  <c r="H80" i="52"/>
  <c r="I80" i="56"/>
  <c r="M80" i="56"/>
  <c r="J80" i="61"/>
  <c r="N80" i="61"/>
  <c r="N70" i="61"/>
  <c r="N36" i="61"/>
  <c r="K80" i="61"/>
  <c r="K70" i="61"/>
  <c r="L70" i="47"/>
  <c r="L36" i="47"/>
  <c r="K70" i="51"/>
  <c r="K36" i="51"/>
  <c r="N70" i="53"/>
  <c r="N36" i="53"/>
  <c r="O83" i="50"/>
  <c r="O83" i="54"/>
  <c r="O80" i="54"/>
  <c r="I80" i="55"/>
  <c r="I70" i="55"/>
  <c r="O83" i="59"/>
  <c r="M70" i="48"/>
  <c r="M36" i="48"/>
  <c r="J70" i="49"/>
  <c r="J36" i="49"/>
  <c r="I70" i="56"/>
  <c r="I36" i="56"/>
  <c r="O83" i="56"/>
  <c r="J80" i="58"/>
  <c r="J70" i="58"/>
  <c r="J36" i="58"/>
  <c r="H80" i="57"/>
  <c r="L80" i="57"/>
  <c r="L70" i="57"/>
  <c r="K80" i="57"/>
  <c r="K70" i="57"/>
  <c r="K36" i="57"/>
  <c r="I80" i="59"/>
  <c r="M80" i="59"/>
  <c r="M70" i="59"/>
  <c r="M36" i="59"/>
  <c r="K101" i="61"/>
  <c r="J131" i="61"/>
  <c r="O47" i="61"/>
  <c r="O86" i="61"/>
  <c r="I101" i="61"/>
  <c r="O126" i="61"/>
  <c r="O125" i="61"/>
  <c r="I47" i="61"/>
  <c r="J56" i="61"/>
  <c r="H86" i="61"/>
  <c r="I138" i="61"/>
  <c r="O173" i="61"/>
  <c r="H17" i="61"/>
  <c r="H56" i="61"/>
  <c r="O78" i="61"/>
  <c r="O77" i="61"/>
  <c r="J86" i="61"/>
  <c r="J94" i="61"/>
  <c r="J70" i="61"/>
  <c r="H90" i="61"/>
  <c r="O98" i="61"/>
  <c r="O94" i="61"/>
  <c r="O143" i="61"/>
  <c r="O171" i="61"/>
  <c r="O108" i="61"/>
  <c r="O107" i="61"/>
  <c r="H28" i="61"/>
  <c r="H26" i="61"/>
  <c r="I71" i="61"/>
  <c r="I70" i="61"/>
  <c r="I132" i="61"/>
  <c r="I131" i="61"/>
  <c r="H47" i="61"/>
  <c r="H71" i="61"/>
  <c r="H132" i="61"/>
  <c r="H131" i="61"/>
  <c r="J131" i="60"/>
  <c r="N131" i="60"/>
  <c r="H47" i="60"/>
  <c r="O57" i="60"/>
  <c r="O56" i="60"/>
  <c r="O78" i="60"/>
  <c r="O83" i="60"/>
  <c r="H138" i="60"/>
  <c r="H131" i="60"/>
  <c r="H150" i="60"/>
  <c r="J169" i="60"/>
  <c r="J168" i="60"/>
  <c r="J153" i="60"/>
  <c r="O193" i="60"/>
  <c r="O46" i="60"/>
  <c r="O45" i="60"/>
  <c r="H80" i="60"/>
  <c r="H108" i="60"/>
  <c r="J150" i="60"/>
  <c r="O171" i="60"/>
  <c r="M168" i="60"/>
  <c r="M153" i="60"/>
  <c r="I28" i="60"/>
  <c r="I26" i="60"/>
  <c r="I7" i="60"/>
  <c r="O72" i="60"/>
  <c r="N107" i="60"/>
  <c r="N101" i="60"/>
  <c r="O128" i="60"/>
  <c r="O126" i="60"/>
  <c r="O125" i="60"/>
  <c r="O140" i="60"/>
  <c r="O138" i="59"/>
  <c r="O29" i="59"/>
  <c r="O90" i="59"/>
  <c r="O145" i="59"/>
  <c r="O150" i="59"/>
  <c r="H9" i="59"/>
  <c r="H8" i="59"/>
  <c r="O74" i="59"/>
  <c r="O79" i="59"/>
  <c r="O77" i="59"/>
  <c r="I126" i="59"/>
  <c r="I125" i="59"/>
  <c r="I138" i="59"/>
  <c r="I131" i="59"/>
  <c r="O171" i="59"/>
  <c r="H37" i="59"/>
  <c r="H47" i="59"/>
  <c r="H56" i="59"/>
  <c r="H71" i="59"/>
  <c r="H86" i="59"/>
  <c r="H132" i="59"/>
  <c r="H188" i="59"/>
  <c r="H168" i="59"/>
  <c r="H153" i="59"/>
  <c r="O207" i="59"/>
  <c r="O204" i="59"/>
  <c r="O59" i="59"/>
  <c r="O89" i="59"/>
  <c r="O86" i="59"/>
  <c r="H94" i="59"/>
  <c r="I119" i="59"/>
  <c r="O135" i="59"/>
  <c r="H28" i="59"/>
  <c r="H26" i="59"/>
  <c r="H77" i="59"/>
  <c r="H119" i="59"/>
  <c r="H126" i="59"/>
  <c r="H125" i="59"/>
  <c r="H138" i="59"/>
  <c r="O29" i="57"/>
  <c r="M70" i="57"/>
  <c r="M36" i="57"/>
  <c r="K107" i="57"/>
  <c r="O150" i="57"/>
  <c r="N28" i="57"/>
  <c r="N26" i="57"/>
  <c r="N7" i="57"/>
  <c r="L131" i="57"/>
  <c r="K168" i="57"/>
  <c r="K153" i="57"/>
  <c r="O91" i="57"/>
  <c r="O90" i="57"/>
  <c r="O139" i="57"/>
  <c r="O138" i="57"/>
  <c r="O48" i="57"/>
  <c r="O88" i="57"/>
  <c r="O134" i="57"/>
  <c r="O213" i="57"/>
  <c r="O204" i="57"/>
  <c r="H103" i="57"/>
  <c r="O11" i="57"/>
  <c r="J28" i="57"/>
  <c r="J26" i="57"/>
  <c r="O65" i="57"/>
  <c r="O63" i="57"/>
  <c r="J101" i="57"/>
  <c r="O110" i="57"/>
  <c r="O133" i="57"/>
  <c r="J145" i="57"/>
  <c r="J131" i="57"/>
  <c r="N131" i="57"/>
  <c r="M168" i="57"/>
  <c r="M153" i="57"/>
  <c r="H169" i="57"/>
  <c r="M7" i="58"/>
  <c r="O152" i="58"/>
  <c r="O150" i="58"/>
  <c r="O20" i="58"/>
  <c r="I47" i="58"/>
  <c r="I56" i="58"/>
  <c r="I71" i="58"/>
  <c r="O83" i="58"/>
  <c r="O93" i="58"/>
  <c r="H138" i="58"/>
  <c r="H131" i="58"/>
  <c r="H204" i="58"/>
  <c r="H188" i="58"/>
  <c r="H168" i="58"/>
  <c r="H153" i="58"/>
  <c r="O19" i="58"/>
  <c r="O17" i="58"/>
  <c r="O31" i="58"/>
  <c r="O29" i="58"/>
  <c r="H37" i="58"/>
  <c r="H47" i="58"/>
  <c r="H56" i="58"/>
  <c r="H71" i="58"/>
  <c r="H86" i="58"/>
  <c r="H70" i="58"/>
  <c r="O82" i="58"/>
  <c r="O80" i="58"/>
  <c r="O92" i="58"/>
  <c r="O90" i="58"/>
  <c r="H103" i="58"/>
  <c r="H116" i="58"/>
  <c r="I145" i="58"/>
  <c r="O145" i="58"/>
  <c r="N168" i="58"/>
  <c r="N153" i="58"/>
  <c r="I37" i="58"/>
  <c r="I86" i="58"/>
  <c r="I132" i="58"/>
  <c r="I188" i="58"/>
  <c r="I168" i="58"/>
  <c r="I153" i="58"/>
  <c r="L28" i="57"/>
  <c r="L26" i="57"/>
  <c r="L7" i="57"/>
  <c r="K101" i="57"/>
  <c r="K131" i="57"/>
  <c r="O145" i="57"/>
  <c r="L168" i="57"/>
  <c r="L153" i="57"/>
  <c r="H28" i="57"/>
  <c r="H26" i="57"/>
  <c r="H7" i="57"/>
  <c r="M107" i="57"/>
  <c r="J9" i="57"/>
  <c r="J8" i="57"/>
  <c r="O13" i="57"/>
  <c r="O33" i="57"/>
  <c r="O32" i="57"/>
  <c r="O46" i="57"/>
  <c r="O45" i="57"/>
  <c r="H71" i="57"/>
  <c r="H86" i="57"/>
  <c r="O115" i="57"/>
  <c r="O114" i="57"/>
  <c r="H132" i="57"/>
  <c r="H188" i="57"/>
  <c r="O39" i="57"/>
  <c r="O37" i="57"/>
  <c r="O49" i="57"/>
  <c r="O47" i="57"/>
  <c r="O58" i="57"/>
  <c r="O56" i="57"/>
  <c r="O74" i="57"/>
  <c r="I77" i="57"/>
  <c r="I70" i="57"/>
  <c r="I36" i="57"/>
  <c r="O89" i="57"/>
  <c r="H94" i="57"/>
  <c r="I119" i="57"/>
  <c r="I126" i="57"/>
  <c r="I125" i="57"/>
  <c r="I101" i="57"/>
  <c r="O135" i="57"/>
  <c r="I138" i="57"/>
  <c r="I131" i="57"/>
  <c r="H77" i="57"/>
  <c r="H119" i="57"/>
  <c r="H126" i="57"/>
  <c r="H125" i="57"/>
  <c r="H138" i="57"/>
  <c r="O9" i="56"/>
  <c r="O8" i="56"/>
  <c r="J101" i="56"/>
  <c r="K101" i="56"/>
  <c r="O141" i="56"/>
  <c r="O138" i="56"/>
  <c r="O33" i="56"/>
  <c r="O32" i="56"/>
  <c r="O39" i="56"/>
  <c r="O37" i="56"/>
  <c r="O49" i="56"/>
  <c r="O47" i="56"/>
  <c r="O58" i="56"/>
  <c r="O73" i="56"/>
  <c r="O71" i="56"/>
  <c r="O78" i="56"/>
  <c r="O77" i="56"/>
  <c r="O88" i="56"/>
  <c r="O86" i="56"/>
  <c r="O129" i="56"/>
  <c r="O126" i="56"/>
  <c r="O125" i="56"/>
  <c r="O151" i="56"/>
  <c r="O150" i="56"/>
  <c r="J169" i="56"/>
  <c r="J168" i="56"/>
  <c r="J153" i="56"/>
  <c r="H17" i="56"/>
  <c r="H7" i="56"/>
  <c r="O18" i="56"/>
  <c r="O17" i="56"/>
  <c r="O30" i="56"/>
  <c r="O29" i="56"/>
  <c r="O46" i="56"/>
  <c r="O45" i="56"/>
  <c r="H80" i="56"/>
  <c r="H90" i="56"/>
  <c r="H70" i="56"/>
  <c r="H36" i="56"/>
  <c r="O81" i="56"/>
  <c r="O80" i="56"/>
  <c r="O91" i="56"/>
  <c r="O90" i="56"/>
  <c r="H119" i="56"/>
  <c r="H126" i="56"/>
  <c r="H125" i="56"/>
  <c r="H138" i="56"/>
  <c r="O171" i="56"/>
  <c r="L168" i="56"/>
  <c r="L153" i="56"/>
  <c r="I138" i="56"/>
  <c r="I131" i="56"/>
  <c r="J7" i="55"/>
  <c r="K168" i="55"/>
  <c r="K153" i="55"/>
  <c r="N7" i="55"/>
  <c r="J107" i="55"/>
  <c r="O213" i="55"/>
  <c r="O115" i="55"/>
  <c r="O114" i="55"/>
  <c r="O57" i="55"/>
  <c r="H71" i="55"/>
  <c r="J138" i="55"/>
  <c r="J131" i="55"/>
  <c r="I37" i="55"/>
  <c r="I47" i="55"/>
  <c r="O58" i="55"/>
  <c r="O93" i="55"/>
  <c r="O140" i="55"/>
  <c r="O151" i="55"/>
  <c r="O150" i="55"/>
  <c r="O171" i="55"/>
  <c r="M101" i="55"/>
  <c r="O17" i="55"/>
  <c r="O56" i="55"/>
  <c r="L28" i="55"/>
  <c r="L26" i="55"/>
  <c r="L7" i="55"/>
  <c r="L131" i="55"/>
  <c r="O28" i="55"/>
  <c r="O26" i="55"/>
  <c r="O7" i="55"/>
  <c r="O71" i="55"/>
  <c r="O145" i="55"/>
  <c r="I63" i="55"/>
  <c r="O111" i="55"/>
  <c r="O117" i="55"/>
  <c r="O116" i="55"/>
  <c r="O135" i="55"/>
  <c r="J188" i="55"/>
  <c r="J168" i="55"/>
  <c r="J153" i="55"/>
  <c r="I108" i="55"/>
  <c r="I107" i="55"/>
  <c r="H126" i="55"/>
  <c r="H125" i="55"/>
  <c r="O134" i="55"/>
  <c r="O132" i="55"/>
  <c r="H138" i="55"/>
  <c r="H131" i="55"/>
  <c r="O139" i="55"/>
  <c r="H204" i="55"/>
  <c r="H28" i="55"/>
  <c r="H26" i="55"/>
  <c r="H7" i="55"/>
  <c r="H77" i="55"/>
  <c r="H188" i="55"/>
  <c r="O37" i="61"/>
  <c r="O204" i="61"/>
  <c r="O17" i="61"/>
  <c r="O90" i="61"/>
  <c r="O145" i="61"/>
  <c r="O9" i="60"/>
  <c r="O8" i="60"/>
  <c r="O150" i="60"/>
  <c r="I153" i="60"/>
  <c r="O63" i="60"/>
  <c r="N70" i="60"/>
  <c r="N36" i="60"/>
  <c r="O145" i="60"/>
  <c r="J101" i="60"/>
  <c r="O158" i="60"/>
  <c r="O155" i="60"/>
  <c r="O154" i="60"/>
  <c r="O177" i="60"/>
  <c r="O177" i="59"/>
  <c r="O169" i="59"/>
  <c r="O177" i="58"/>
  <c r="O188" i="57"/>
  <c r="O169" i="57"/>
  <c r="O204" i="56"/>
  <c r="O188" i="56"/>
  <c r="O177" i="56"/>
  <c r="O204" i="55"/>
  <c r="O188" i="55"/>
  <c r="O177" i="55"/>
  <c r="L28" i="54"/>
  <c r="L26" i="54"/>
  <c r="L7" i="54"/>
  <c r="K70" i="54"/>
  <c r="K36" i="54"/>
  <c r="O37" i="54"/>
  <c r="J70" i="54"/>
  <c r="J36" i="54"/>
  <c r="H101" i="54"/>
  <c r="N107" i="54"/>
  <c r="L131" i="54"/>
  <c r="O169" i="54"/>
  <c r="I80" i="54"/>
  <c r="I145" i="54"/>
  <c r="I131" i="54"/>
  <c r="O18" i="54"/>
  <c r="O17" i="54"/>
  <c r="H47" i="54"/>
  <c r="H63" i="54"/>
  <c r="H80" i="54"/>
  <c r="H86" i="54"/>
  <c r="H94" i="54"/>
  <c r="H70" i="54"/>
  <c r="J108" i="54"/>
  <c r="J107" i="54"/>
  <c r="J101" i="54"/>
  <c r="H145" i="54"/>
  <c r="H204" i="54"/>
  <c r="O71" i="54"/>
  <c r="O132" i="54"/>
  <c r="I168" i="54"/>
  <c r="O127" i="54"/>
  <c r="O126" i="54"/>
  <c r="O125" i="54"/>
  <c r="O142" i="54"/>
  <c r="H132" i="54"/>
  <c r="H150" i="54"/>
  <c r="O138" i="53"/>
  <c r="O63" i="53"/>
  <c r="K131" i="53"/>
  <c r="O132" i="53"/>
  <c r="O150" i="53"/>
  <c r="O17" i="53"/>
  <c r="H9" i="53"/>
  <c r="H8" i="53"/>
  <c r="O10" i="53"/>
  <c r="H71" i="53"/>
  <c r="H86" i="53"/>
  <c r="O97" i="53"/>
  <c r="H116" i="53"/>
  <c r="H132" i="53"/>
  <c r="H131" i="53"/>
  <c r="O145" i="53"/>
  <c r="H188" i="53"/>
  <c r="O209" i="53"/>
  <c r="O204" i="53"/>
  <c r="H28" i="53"/>
  <c r="H26" i="53"/>
  <c r="H80" i="53"/>
  <c r="H90" i="53"/>
  <c r="I94" i="53"/>
  <c r="I70" i="53"/>
  <c r="I108" i="53"/>
  <c r="I107" i="53"/>
  <c r="I101" i="53"/>
  <c r="H150" i="53"/>
  <c r="O191" i="53"/>
  <c r="L168" i="53"/>
  <c r="L153" i="53"/>
  <c r="I63" i="53"/>
  <c r="H103" i="53"/>
  <c r="H169" i="53"/>
  <c r="H168" i="53"/>
  <c r="H153" i="53"/>
  <c r="O17" i="52"/>
  <c r="O28" i="52"/>
  <c r="O26" i="52"/>
  <c r="K70" i="52"/>
  <c r="K36" i="52"/>
  <c r="M28" i="52"/>
  <c r="M26" i="52"/>
  <c r="M7" i="52"/>
  <c r="O94" i="52"/>
  <c r="N101" i="52"/>
  <c r="O108" i="52"/>
  <c r="O107" i="52"/>
  <c r="N131" i="52"/>
  <c r="O86" i="52"/>
  <c r="L168" i="52"/>
  <c r="L153" i="52"/>
  <c r="H9" i="52"/>
  <c r="H8" i="52"/>
  <c r="O74" i="52"/>
  <c r="O71" i="52"/>
  <c r="I77" i="52"/>
  <c r="H145" i="52"/>
  <c r="H63" i="52"/>
  <c r="H71" i="52"/>
  <c r="H86" i="52"/>
  <c r="J90" i="52"/>
  <c r="J70" i="52"/>
  <c r="J36" i="52"/>
  <c r="O93" i="52"/>
  <c r="O90" i="52"/>
  <c r="H119" i="52"/>
  <c r="H126" i="52"/>
  <c r="H125" i="52"/>
  <c r="H138" i="52"/>
  <c r="O171" i="52"/>
  <c r="M168" i="52"/>
  <c r="M153" i="52"/>
  <c r="O173" i="52"/>
  <c r="H28" i="52"/>
  <c r="H26" i="52"/>
  <c r="H77" i="52"/>
  <c r="I86" i="52"/>
  <c r="H94" i="52"/>
  <c r="H108" i="52"/>
  <c r="H107" i="52"/>
  <c r="I138" i="52"/>
  <c r="I131" i="52"/>
  <c r="O29" i="54"/>
  <c r="O108" i="54"/>
  <c r="O107" i="54"/>
  <c r="O145" i="54"/>
  <c r="O47" i="54"/>
  <c r="O150" i="54"/>
  <c r="O158" i="54"/>
  <c r="O155" i="54"/>
  <c r="O154" i="54"/>
  <c r="H169" i="54"/>
  <c r="O188" i="53"/>
  <c r="O177" i="53"/>
  <c r="I153" i="52"/>
  <c r="O153" i="52"/>
  <c r="O177" i="52"/>
  <c r="L36" i="51"/>
  <c r="H28" i="51"/>
  <c r="H26" i="51"/>
  <c r="H7" i="51"/>
  <c r="L7" i="51"/>
  <c r="I28" i="51"/>
  <c r="I26" i="51"/>
  <c r="I7" i="51"/>
  <c r="O56" i="51"/>
  <c r="J70" i="51"/>
  <c r="N70" i="51"/>
  <c r="N36" i="51"/>
  <c r="N131" i="51"/>
  <c r="O138" i="51"/>
  <c r="H126" i="51"/>
  <c r="H125" i="51"/>
  <c r="H101" i="51"/>
  <c r="N101" i="51"/>
  <c r="O80" i="51"/>
  <c r="I37" i="51"/>
  <c r="H56" i="51"/>
  <c r="O110" i="51"/>
  <c r="O151" i="51"/>
  <c r="O150" i="51"/>
  <c r="O10" i="51"/>
  <c r="O9" i="51"/>
  <c r="O8" i="51"/>
  <c r="J56" i="51"/>
  <c r="I63" i="51"/>
  <c r="H80" i="51"/>
  <c r="H86" i="51"/>
  <c r="J116" i="51"/>
  <c r="J101" i="51"/>
  <c r="H145" i="51"/>
  <c r="H169" i="51"/>
  <c r="H188" i="51"/>
  <c r="O207" i="51"/>
  <c r="O204" i="51"/>
  <c r="O86" i="51"/>
  <c r="O145" i="51"/>
  <c r="O30" i="51"/>
  <c r="O29" i="51"/>
  <c r="O28" i="51"/>
  <c r="O26" i="51"/>
  <c r="O46" i="51"/>
  <c r="O45" i="51"/>
  <c r="H37" i="51"/>
  <c r="I86" i="51"/>
  <c r="I70" i="51"/>
  <c r="O108" i="51"/>
  <c r="O107" i="51"/>
  <c r="O126" i="51"/>
  <c r="O125" i="51"/>
  <c r="O101" i="51"/>
  <c r="O37" i="51"/>
  <c r="I153" i="51"/>
  <c r="O12" i="50"/>
  <c r="O9" i="50"/>
  <c r="O8" i="50"/>
  <c r="O29" i="50"/>
  <c r="O28" i="50"/>
  <c r="O26" i="50"/>
  <c r="O145" i="50"/>
  <c r="O150" i="50"/>
  <c r="I94" i="50"/>
  <c r="I70" i="50"/>
  <c r="H37" i="50"/>
  <c r="H47" i="50"/>
  <c r="O57" i="50"/>
  <c r="O66" i="50"/>
  <c r="H86" i="50"/>
  <c r="H103" i="50"/>
  <c r="H116" i="50"/>
  <c r="O193" i="50"/>
  <c r="O207" i="50"/>
  <c r="O204" i="50"/>
  <c r="I9" i="50"/>
  <c r="I8" i="50"/>
  <c r="I7" i="50"/>
  <c r="H17" i="50"/>
  <c r="H29" i="50"/>
  <c r="H28" i="50"/>
  <c r="H26" i="50"/>
  <c r="I63" i="50"/>
  <c r="I36" i="50"/>
  <c r="H80" i="50"/>
  <c r="H90" i="50"/>
  <c r="I108" i="50"/>
  <c r="I107" i="50"/>
  <c r="I101" i="50"/>
  <c r="H145" i="50"/>
  <c r="H150" i="50"/>
  <c r="O191" i="50"/>
  <c r="O188" i="50"/>
  <c r="M168" i="50"/>
  <c r="M153" i="50"/>
  <c r="H71" i="50"/>
  <c r="O97" i="50"/>
  <c r="O111" i="50"/>
  <c r="O108" i="50"/>
  <c r="O107" i="50"/>
  <c r="H132" i="50"/>
  <c r="H131" i="50"/>
  <c r="H169" i="50"/>
  <c r="O177" i="50"/>
  <c r="H188" i="49"/>
  <c r="H168" i="49"/>
  <c r="H153" i="49"/>
  <c r="O12" i="49"/>
  <c r="O9" i="49"/>
  <c r="O8" i="49"/>
  <c r="O29" i="49"/>
  <c r="O126" i="49"/>
  <c r="O125" i="49"/>
  <c r="H37" i="49"/>
  <c r="H47" i="49"/>
  <c r="H56" i="49"/>
  <c r="H86" i="49"/>
  <c r="O92" i="49"/>
  <c r="O90" i="49"/>
  <c r="O97" i="49"/>
  <c r="O94" i="49"/>
  <c r="O172" i="49"/>
  <c r="I9" i="49"/>
  <c r="I8" i="49"/>
  <c r="H17" i="49"/>
  <c r="H29" i="49"/>
  <c r="H28" i="49"/>
  <c r="H26" i="49"/>
  <c r="H7" i="49"/>
  <c r="I63" i="49"/>
  <c r="H80" i="49"/>
  <c r="I94" i="49"/>
  <c r="I70" i="49"/>
  <c r="H103" i="49"/>
  <c r="H116" i="49"/>
  <c r="H119" i="49"/>
  <c r="H126" i="49"/>
  <c r="H125" i="49"/>
  <c r="O175" i="49"/>
  <c r="O191" i="49"/>
  <c r="L168" i="49"/>
  <c r="L153" i="49"/>
  <c r="O66" i="49"/>
  <c r="O63" i="49"/>
  <c r="H71" i="49"/>
  <c r="O207" i="49"/>
  <c r="O204" i="49"/>
  <c r="O188" i="49"/>
  <c r="I169" i="49"/>
  <c r="O177" i="49"/>
  <c r="O86" i="48"/>
  <c r="N101" i="48"/>
  <c r="O63" i="48"/>
  <c r="N131" i="48"/>
  <c r="O47" i="48"/>
  <c r="H17" i="48"/>
  <c r="O18" i="48"/>
  <c r="O17" i="48"/>
  <c r="O30" i="48"/>
  <c r="O29" i="48"/>
  <c r="O46" i="48"/>
  <c r="O45" i="48"/>
  <c r="O91" i="48"/>
  <c r="O93" i="48"/>
  <c r="O90" i="48"/>
  <c r="O129" i="48"/>
  <c r="H145" i="48"/>
  <c r="O151" i="48"/>
  <c r="O150" i="48"/>
  <c r="H77" i="48"/>
  <c r="J80" i="48"/>
  <c r="J70" i="48"/>
  <c r="J36" i="48"/>
  <c r="O83" i="48"/>
  <c r="O80" i="48"/>
  <c r="I86" i="48"/>
  <c r="H119" i="48"/>
  <c r="H126" i="48"/>
  <c r="H125" i="48"/>
  <c r="H138" i="48"/>
  <c r="J145" i="48"/>
  <c r="H168" i="48"/>
  <c r="H153" i="48"/>
  <c r="J138" i="48"/>
  <c r="O172" i="48"/>
  <c r="O191" i="48"/>
  <c r="H9" i="48"/>
  <c r="H8" i="48"/>
  <c r="H63" i="48"/>
  <c r="H94" i="48"/>
  <c r="I138" i="48"/>
  <c r="O204" i="48"/>
  <c r="O188" i="48"/>
  <c r="O177" i="48"/>
  <c r="L101" i="47"/>
  <c r="M101" i="47"/>
  <c r="N131" i="47"/>
  <c r="O138" i="47"/>
  <c r="O145" i="47"/>
  <c r="O29" i="47"/>
  <c r="O28" i="47"/>
  <c r="O26" i="47"/>
  <c r="O10" i="47"/>
  <c r="O40" i="47"/>
  <c r="J47" i="47"/>
  <c r="O59" i="47"/>
  <c r="H63" i="47"/>
  <c r="J71" i="47"/>
  <c r="J86" i="47"/>
  <c r="H94" i="47"/>
  <c r="O95" i="47"/>
  <c r="O94" i="47"/>
  <c r="O111" i="47"/>
  <c r="O108" i="47"/>
  <c r="O107" i="47"/>
  <c r="J132" i="47"/>
  <c r="J131" i="47"/>
  <c r="I138" i="47"/>
  <c r="I131" i="47"/>
  <c r="H188" i="47"/>
  <c r="H28" i="47"/>
  <c r="H26" i="47"/>
  <c r="H77" i="47"/>
  <c r="I108" i="47"/>
  <c r="I107" i="47"/>
  <c r="O117" i="47"/>
  <c r="O116" i="47"/>
  <c r="H119" i="47"/>
  <c r="H126" i="47"/>
  <c r="H125" i="47"/>
  <c r="H101" i="47"/>
  <c r="O134" i="47"/>
  <c r="O132" i="47"/>
  <c r="H138" i="47"/>
  <c r="O191" i="47"/>
  <c r="O188" i="47"/>
  <c r="J204" i="47"/>
  <c r="H9" i="47"/>
  <c r="H8" i="47"/>
  <c r="H7" i="47"/>
  <c r="O64" i="47"/>
  <c r="O63" i="47"/>
  <c r="N101" i="47"/>
  <c r="H169" i="47"/>
  <c r="H168" i="47"/>
  <c r="H153" i="47"/>
  <c r="H37" i="47"/>
  <c r="H47" i="47"/>
  <c r="H56" i="47"/>
  <c r="H71" i="47"/>
  <c r="H86" i="47"/>
  <c r="O177" i="47"/>
  <c r="O169" i="47"/>
  <c r="M131" i="61"/>
  <c r="M6" i="61"/>
  <c r="M5" i="61"/>
  <c r="M131" i="56"/>
  <c r="M6" i="54"/>
  <c r="M131" i="55"/>
  <c r="M6" i="51"/>
  <c r="L6" i="53"/>
  <c r="L5" i="53"/>
  <c r="O32" i="60"/>
  <c r="O28" i="60"/>
  <c r="O26" i="60"/>
  <c r="O7" i="60"/>
  <c r="K101" i="49"/>
  <c r="K6" i="49"/>
  <c r="K168" i="49"/>
  <c r="K153" i="49"/>
  <c r="K5" i="49"/>
  <c r="O101" i="53"/>
  <c r="L7" i="48"/>
  <c r="L6" i="48"/>
  <c r="L5" i="48"/>
  <c r="K36" i="55"/>
  <c r="M101" i="59"/>
  <c r="K6" i="55"/>
  <c r="K5" i="55"/>
  <c r="N7" i="53"/>
  <c r="N6" i="52"/>
  <c r="N5" i="52"/>
  <c r="L36" i="55"/>
  <c r="I101" i="60"/>
  <c r="J36" i="60"/>
  <c r="N36" i="49"/>
  <c r="N7" i="49"/>
  <c r="N6" i="49"/>
  <c r="N5" i="49"/>
  <c r="I7" i="53"/>
  <c r="J28" i="53"/>
  <c r="J26" i="53"/>
  <c r="J7" i="53"/>
  <c r="J6" i="53"/>
  <c r="J5" i="53"/>
  <c r="J70" i="59"/>
  <c r="J36" i="59"/>
  <c r="O9" i="59"/>
  <c r="O8" i="59"/>
  <c r="M70" i="60"/>
  <c r="N168" i="55"/>
  <c r="N153" i="55"/>
  <c r="O71" i="58"/>
  <c r="J7" i="58"/>
  <c r="O37" i="50"/>
  <c r="O56" i="47"/>
  <c r="M6" i="47"/>
  <c r="M5" i="47"/>
  <c r="O169" i="50"/>
  <c r="O168" i="50"/>
  <c r="I70" i="52"/>
  <c r="I36" i="52"/>
  <c r="I6" i="52"/>
  <c r="I5" i="52"/>
  <c r="O153" i="53"/>
  <c r="O138" i="54"/>
  <c r="O131" i="54"/>
  <c r="L101" i="54"/>
  <c r="H168" i="55"/>
  <c r="H153" i="55"/>
  <c r="O86" i="57"/>
  <c r="H101" i="58"/>
  <c r="O32" i="58"/>
  <c r="O28" i="58"/>
  <c r="O26" i="58"/>
  <c r="O7" i="58"/>
  <c r="N101" i="57"/>
  <c r="N6" i="57"/>
  <c r="N168" i="57"/>
  <c r="N153" i="57"/>
  <c r="N5" i="57"/>
  <c r="O71" i="59"/>
  <c r="H107" i="60"/>
  <c r="O188" i="60"/>
  <c r="O101" i="61"/>
  <c r="H7" i="61"/>
  <c r="L36" i="57"/>
  <c r="K36" i="61"/>
  <c r="M70" i="56"/>
  <c r="M36" i="56"/>
  <c r="L101" i="61"/>
  <c r="L131" i="61"/>
  <c r="L6" i="61"/>
  <c r="L5" i="61"/>
  <c r="K168" i="59"/>
  <c r="K153" i="59"/>
  <c r="L7" i="59"/>
  <c r="L6" i="59"/>
  <c r="L168" i="59"/>
  <c r="L153" i="59"/>
  <c r="L5" i="59"/>
  <c r="J7" i="59"/>
  <c r="J6" i="59"/>
  <c r="J5" i="59"/>
  <c r="K168" i="61"/>
  <c r="K153" i="61"/>
  <c r="H168" i="61"/>
  <c r="H153" i="61"/>
  <c r="H7" i="58"/>
  <c r="N7" i="58"/>
  <c r="N101" i="61"/>
  <c r="L70" i="56"/>
  <c r="L36" i="56"/>
  <c r="O71" i="49"/>
  <c r="K168" i="54"/>
  <c r="K153" i="54"/>
  <c r="J101" i="50"/>
  <c r="O71" i="50"/>
  <c r="N7" i="50"/>
  <c r="O77" i="48"/>
  <c r="M7" i="48"/>
  <c r="J168" i="47"/>
  <c r="J153" i="47"/>
  <c r="I168" i="47"/>
  <c r="I153" i="47"/>
  <c r="O153" i="47"/>
  <c r="O131" i="47"/>
  <c r="I101" i="47"/>
  <c r="I6" i="47"/>
  <c r="O9" i="47"/>
  <c r="O8" i="47"/>
  <c r="I70" i="48"/>
  <c r="I36" i="48"/>
  <c r="I168" i="49"/>
  <c r="I153" i="49"/>
  <c r="H168" i="50"/>
  <c r="H153" i="50"/>
  <c r="O56" i="50"/>
  <c r="H131" i="51"/>
  <c r="H70" i="51"/>
  <c r="K101" i="51"/>
  <c r="O169" i="52"/>
  <c r="O168" i="52"/>
  <c r="O169" i="53"/>
  <c r="O168" i="53"/>
  <c r="O101" i="52"/>
  <c r="K6" i="52"/>
  <c r="K5" i="52"/>
  <c r="O94" i="53"/>
  <c r="I153" i="54"/>
  <c r="I70" i="54"/>
  <c r="I36" i="54"/>
  <c r="N101" i="54"/>
  <c r="K6" i="54"/>
  <c r="K5" i="54"/>
  <c r="O169" i="55"/>
  <c r="O168" i="55"/>
  <c r="O169" i="56"/>
  <c r="O168" i="56"/>
  <c r="O138" i="55"/>
  <c r="O108" i="55"/>
  <c r="O107" i="55"/>
  <c r="O126" i="55"/>
  <c r="O125" i="55"/>
  <c r="O101" i="55"/>
  <c r="O90" i="55"/>
  <c r="O70" i="55"/>
  <c r="O63" i="55"/>
  <c r="O36" i="55"/>
  <c r="L101" i="55"/>
  <c r="L6" i="55"/>
  <c r="L5" i="55"/>
  <c r="H101" i="56"/>
  <c r="H131" i="56"/>
  <c r="M101" i="57"/>
  <c r="M6" i="57"/>
  <c r="M5" i="57"/>
  <c r="H101" i="59"/>
  <c r="I101" i="59"/>
  <c r="O138" i="60"/>
  <c r="O71" i="60"/>
  <c r="O77" i="60"/>
  <c r="O138" i="61"/>
  <c r="N6" i="53"/>
  <c r="N5" i="53"/>
  <c r="N70" i="55"/>
  <c r="N36" i="55"/>
  <c r="K70" i="60"/>
  <c r="K36" i="60"/>
  <c r="K6" i="60"/>
  <c r="K5" i="60"/>
  <c r="N7" i="59"/>
  <c r="O32" i="61"/>
  <c r="O28" i="61"/>
  <c r="O26" i="61"/>
  <c r="O7" i="61"/>
  <c r="O32" i="59"/>
  <c r="I168" i="61"/>
  <c r="I153" i="61"/>
  <c r="L131" i="60"/>
  <c r="N7" i="60"/>
  <c r="N6" i="60"/>
  <c r="N5" i="60"/>
  <c r="O138" i="58"/>
  <c r="O131" i="58"/>
  <c r="O126" i="58"/>
  <c r="O125" i="58"/>
  <c r="N168" i="56"/>
  <c r="N153" i="56"/>
  <c r="J101" i="58"/>
  <c r="O86" i="58"/>
  <c r="O56" i="58"/>
  <c r="O37" i="58"/>
  <c r="L7" i="58"/>
  <c r="H107" i="61"/>
  <c r="M7" i="56"/>
  <c r="M168" i="51"/>
  <c r="M153" i="51"/>
  <c r="L168" i="54"/>
  <c r="L153" i="54"/>
  <c r="L70" i="49"/>
  <c r="L36" i="49"/>
  <c r="M168" i="54"/>
  <c r="M153" i="54"/>
  <c r="N28" i="47"/>
  <c r="N26" i="47"/>
  <c r="N7" i="47"/>
  <c r="N6" i="47"/>
  <c r="N5" i="47"/>
  <c r="N101" i="50"/>
  <c r="L101" i="50"/>
  <c r="L7" i="50"/>
  <c r="L6" i="50"/>
  <c r="L5" i="50"/>
  <c r="J70" i="50"/>
  <c r="J36" i="50"/>
  <c r="N7" i="48"/>
  <c r="O77" i="50"/>
  <c r="M101" i="53"/>
  <c r="M6" i="53"/>
  <c r="M5" i="53"/>
  <c r="K28" i="48"/>
  <c r="K26" i="48"/>
  <c r="K7" i="48"/>
  <c r="K6" i="48"/>
  <c r="K5" i="48"/>
  <c r="O150" i="47"/>
  <c r="O9" i="52"/>
  <c r="O8" i="52"/>
  <c r="O7" i="52"/>
  <c r="O90" i="51"/>
  <c r="O17" i="51"/>
  <c r="O7" i="51"/>
  <c r="H131" i="47"/>
  <c r="J70" i="47"/>
  <c r="J36" i="47"/>
  <c r="J6" i="47"/>
  <c r="J5" i="47"/>
  <c r="O37" i="47"/>
  <c r="O169" i="48"/>
  <c r="O168" i="48"/>
  <c r="I131" i="48"/>
  <c r="J131" i="48"/>
  <c r="O126" i="48"/>
  <c r="O125" i="48"/>
  <c r="O169" i="49"/>
  <c r="I7" i="49"/>
  <c r="O28" i="49"/>
  <c r="O26" i="49"/>
  <c r="O7" i="49"/>
  <c r="O94" i="50"/>
  <c r="O80" i="50"/>
  <c r="O70" i="50"/>
  <c r="H7" i="50"/>
  <c r="O63" i="50"/>
  <c r="H168" i="51"/>
  <c r="H153" i="51"/>
  <c r="O153" i="51"/>
  <c r="H131" i="52"/>
  <c r="H101" i="53"/>
  <c r="O9" i="53"/>
  <c r="O8" i="53"/>
  <c r="O169" i="58"/>
  <c r="O168" i="58"/>
  <c r="H70" i="55"/>
  <c r="H36" i="55"/>
  <c r="H101" i="55"/>
  <c r="H6" i="55"/>
  <c r="H5" i="55"/>
  <c r="O56" i="56"/>
  <c r="O70" i="56"/>
  <c r="O36" i="56"/>
  <c r="O71" i="57"/>
  <c r="H168" i="57"/>
  <c r="H153" i="57"/>
  <c r="O153" i="57"/>
  <c r="L101" i="57"/>
  <c r="O108" i="57"/>
  <c r="O132" i="57"/>
  <c r="O132" i="59"/>
  <c r="O56" i="59"/>
  <c r="H131" i="59"/>
  <c r="H70" i="60"/>
  <c r="H36" i="60"/>
  <c r="O80" i="60"/>
  <c r="I70" i="59"/>
  <c r="I36" i="59"/>
  <c r="O80" i="59"/>
  <c r="O70" i="59"/>
  <c r="O63" i="59"/>
  <c r="O36" i="59"/>
  <c r="N70" i="59"/>
  <c r="N36" i="59"/>
  <c r="K70" i="50"/>
  <c r="K36" i="50"/>
  <c r="K28" i="50"/>
  <c r="K26" i="50"/>
  <c r="K7" i="50"/>
  <c r="K6" i="50"/>
  <c r="K5" i="50"/>
  <c r="K7" i="61"/>
  <c r="M131" i="59"/>
  <c r="K7" i="59"/>
  <c r="K6" i="59"/>
  <c r="K5" i="59"/>
  <c r="J168" i="61"/>
  <c r="J153" i="61"/>
  <c r="H168" i="60"/>
  <c r="H153" i="60"/>
  <c r="I70" i="60"/>
  <c r="I36" i="60"/>
  <c r="M36" i="60"/>
  <c r="M6" i="60"/>
  <c r="M5" i="60"/>
  <c r="H168" i="56"/>
  <c r="H153" i="56"/>
  <c r="O153" i="56"/>
  <c r="N101" i="58"/>
  <c r="M70" i="58"/>
  <c r="M36" i="58"/>
  <c r="M6" i="58"/>
  <c r="M5" i="58"/>
  <c r="J7" i="56"/>
  <c r="J6" i="56"/>
  <c r="J5" i="56"/>
  <c r="N168" i="51"/>
  <c r="N153" i="51"/>
  <c r="O169" i="51"/>
  <c r="O168" i="51"/>
  <c r="O204" i="54"/>
  <c r="O168" i="54"/>
  <c r="M70" i="49"/>
  <c r="M36" i="49"/>
  <c r="O37" i="49"/>
  <c r="L7" i="49"/>
  <c r="O94" i="54"/>
  <c r="O101" i="54"/>
  <c r="K101" i="47"/>
  <c r="K6" i="47"/>
  <c r="K5" i="47"/>
  <c r="O132" i="52"/>
  <c r="O131" i="52"/>
  <c r="O56" i="52"/>
  <c r="M101" i="56"/>
  <c r="I168" i="50"/>
  <c r="I153" i="50"/>
  <c r="M70" i="50"/>
  <c r="M36" i="50"/>
  <c r="J168" i="49"/>
  <c r="J153" i="49"/>
  <c r="O153" i="49"/>
  <c r="O77" i="53"/>
  <c r="O70" i="53"/>
  <c r="I168" i="48"/>
  <c r="I153" i="48"/>
  <c r="O153" i="48"/>
  <c r="I7" i="48"/>
  <c r="O132" i="56"/>
  <c r="O108" i="49"/>
  <c r="O107" i="49"/>
  <c r="M168" i="48"/>
  <c r="M153" i="48"/>
  <c r="J7" i="48"/>
  <c r="J6" i="48"/>
  <c r="J5" i="48"/>
  <c r="O47" i="53"/>
  <c r="O36" i="53"/>
  <c r="O168" i="59"/>
  <c r="O28" i="59"/>
  <c r="O26" i="59"/>
  <c r="O7" i="59"/>
  <c r="M6" i="48"/>
  <c r="M5" i="48"/>
  <c r="H101" i="61"/>
  <c r="L101" i="58"/>
  <c r="L7" i="56"/>
  <c r="O47" i="49"/>
  <c r="M101" i="50"/>
  <c r="J7" i="50"/>
  <c r="O101" i="49"/>
  <c r="O138" i="48"/>
  <c r="O131" i="48"/>
  <c r="O32" i="48"/>
  <c r="O28" i="48"/>
  <c r="O26" i="48"/>
  <c r="O7" i="48"/>
  <c r="O71" i="48"/>
  <c r="O70" i="48"/>
  <c r="O36" i="48"/>
  <c r="M101" i="52"/>
  <c r="M6" i="52"/>
  <c r="M5" i="52"/>
  <c r="N168" i="48"/>
  <c r="N153" i="48"/>
  <c r="O108" i="48"/>
  <c r="O107" i="48"/>
  <c r="J7" i="52"/>
  <c r="O131" i="59"/>
  <c r="K6" i="58"/>
  <c r="K5" i="58"/>
  <c r="H131" i="54"/>
  <c r="K6" i="53"/>
  <c r="K5" i="53"/>
  <c r="L6" i="52"/>
  <c r="L5" i="52"/>
  <c r="O7" i="50"/>
  <c r="J6" i="49"/>
  <c r="J5" i="49"/>
  <c r="N6" i="48"/>
  <c r="N5" i="48"/>
  <c r="L6" i="47"/>
  <c r="L5" i="47"/>
  <c r="O7" i="47"/>
  <c r="K6" i="51"/>
  <c r="K5" i="51"/>
  <c r="N6" i="56"/>
  <c r="N5" i="56"/>
  <c r="M6" i="55"/>
  <c r="M5" i="55"/>
  <c r="L6" i="57"/>
  <c r="L5" i="57"/>
  <c r="O70" i="47"/>
  <c r="M6" i="50"/>
  <c r="M5" i="50"/>
  <c r="J36" i="51"/>
  <c r="N6" i="61"/>
  <c r="N5" i="61"/>
  <c r="K6" i="61"/>
  <c r="K5" i="61"/>
  <c r="I36" i="61"/>
  <c r="I6" i="61"/>
  <c r="I5" i="61"/>
  <c r="M6" i="49"/>
  <c r="M5" i="49"/>
  <c r="O70" i="54"/>
  <c r="O36" i="54"/>
  <c r="I36" i="53"/>
  <c r="K6" i="56"/>
  <c r="K5" i="56"/>
  <c r="J36" i="61"/>
  <c r="J6" i="61"/>
  <c r="J5" i="61"/>
  <c r="O70" i="61"/>
  <c r="O36" i="61"/>
  <c r="H70" i="61"/>
  <c r="H36" i="61"/>
  <c r="O169" i="61"/>
  <c r="O168" i="61"/>
  <c r="H101" i="60"/>
  <c r="H6" i="60"/>
  <c r="H5" i="60"/>
  <c r="J6" i="60"/>
  <c r="J5" i="60"/>
  <c r="O70" i="60"/>
  <c r="O36" i="60"/>
  <c r="O169" i="60"/>
  <c r="L6" i="60"/>
  <c r="L5" i="60"/>
  <c r="O153" i="59"/>
  <c r="H70" i="59"/>
  <c r="H36" i="59"/>
  <c r="H7" i="59"/>
  <c r="O101" i="59"/>
  <c r="O131" i="57"/>
  <c r="O107" i="57"/>
  <c r="O28" i="57"/>
  <c r="O26" i="57"/>
  <c r="K6" i="57"/>
  <c r="K5" i="57"/>
  <c r="J7" i="57"/>
  <c r="J6" i="57"/>
  <c r="J5" i="57"/>
  <c r="H101" i="57"/>
  <c r="O9" i="57"/>
  <c r="O8" i="57"/>
  <c r="O7" i="57"/>
  <c r="O153" i="58"/>
  <c r="O70" i="58"/>
  <c r="O36" i="58"/>
  <c r="I131" i="58"/>
  <c r="H36" i="58"/>
  <c r="I70" i="58"/>
  <c r="I36" i="58"/>
  <c r="H131" i="57"/>
  <c r="I6" i="57"/>
  <c r="I5" i="57"/>
  <c r="O168" i="57"/>
  <c r="O70" i="57"/>
  <c r="O36" i="57"/>
  <c r="H70" i="57"/>
  <c r="H36" i="57"/>
  <c r="I6" i="56"/>
  <c r="I5" i="56"/>
  <c r="H6" i="56"/>
  <c r="H5" i="56"/>
  <c r="O145" i="56"/>
  <c r="O101" i="56"/>
  <c r="O28" i="56"/>
  <c r="O26" i="56"/>
  <c r="O7" i="56"/>
  <c r="I36" i="55"/>
  <c r="N6" i="55"/>
  <c r="N5" i="55"/>
  <c r="J101" i="55"/>
  <c r="J6" i="55"/>
  <c r="J5" i="55"/>
  <c r="I101" i="55"/>
  <c r="O131" i="55"/>
  <c r="O153" i="61"/>
  <c r="O131" i="61"/>
  <c r="O131" i="60"/>
  <c r="O153" i="60"/>
  <c r="O101" i="60"/>
  <c r="O153" i="55"/>
  <c r="J6" i="54"/>
  <c r="J5" i="54"/>
  <c r="H36" i="54"/>
  <c r="H6" i="54"/>
  <c r="H168" i="54"/>
  <c r="H153" i="54"/>
  <c r="H5" i="54"/>
  <c r="O28" i="54"/>
  <c r="O26" i="54"/>
  <c r="O7" i="54"/>
  <c r="L6" i="54"/>
  <c r="L5" i="54"/>
  <c r="N6" i="54"/>
  <c r="N5" i="54"/>
  <c r="I6" i="54"/>
  <c r="I5" i="54"/>
  <c r="O7" i="53"/>
  <c r="H7" i="53"/>
  <c r="O131" i="53"/>
  <c r="H70" i="53"/>
  <c r="H36" i="53"/>
  <c r="H70" i="52"/>
  <c r="H36" i="52"/>
  <c r="H7" i="52"/>
  <c r="O70" i="52"/>
  <c r="O36" i="52"/>
  <c r="H101" i="52"/>
  <c r="J6" i="52"/>
  <c r="J5" i="52"/>
  <c r="O153" i="54"/>
  <c r="I36" i="51"/>
  <c r="I6" i="51"/>
  <c r="I5" i="51"/>
  <c r="O70" i="51"/>
  <c r="O36" i="51"/>
  <c r="N6" i="51"/>
  <c r="N5" i="51"/>
  <c r="L6" i="51"/>
  <c r="L5" i="51"/>
  <c r="O131" i="51"/>
  <c r="H36" i="51"/>
  <c r="H6" i="51"/>
  <c r="H5" i="51"/>
  <c r="J6" i="51"/>
  <c r="J5" i="51"/>
  <c r="O101" i="50"/>
  <c r="I6" i="50"/>
  <c r="I5" i="50"/>
  <c r="H70" i="50"/>
  <c r="H36" i="50"/>
  <c r="H101" i="50"/>
  <c r="O131" i="50"/>
  <c r="O153" i="50"/>
  <c r="O70" i="49"/>
  <c r="O168" i="49"/>
  <c r="H70" i="49"/>
  <c r="H36" i="49"/>
  <c r="I36" i="49"/>
  <c r="I6" i="49"/>
  <c r="I5" i="49"/>
  <c r="H101" i="49"/>
  <c r="I6" i="48"/>
  <c r="I5" i="48"/>
  <c r="H7" i="48"/>
  <c r="H101" i="48"/>
  <c r="H70" i="48"/>
  <c r="H36" i="48"/>
  <c r="H131" i="48"/>
  <c r="O168" i="47"/>
  <c r="H70" i="47"/>
  <c r="H36" i="47"/>
  <c r="H6" i="47"/>
  <c r="H5" i="47"/>
  <c r="I5" i="47"/>
  <c r="O101" i="47"/>
  <c r="M5" i="54"/>
  <c r="M5" i="51"/>
  <c r="M6" i="59"/>
  <c r="M5" i="59"/>
  <c r="I6" i="60"/>
  <c r="I5" i="60"/>
  <c r="I6" i="59"/>
  <c r="I5" i="59"/>
  <c r="L6" i="58"/>
  <c r="L5" i="58"/>
  <c r="J6" i="58"/>
  <c r="J5" i="58"/>
  <c r="N6" i="58"/>
  <c r="N5" i="58"/>
  <c r="I6" i="55"/>
  <c r="I5" i="55"/>
  <c r="N6" i="50"/>
  <c r="N5" i="50"/>
  <c r="O36" i="50"/>
  <c r="O6" i="51"/>
  <c r="O5" i="51"/>
  <c r="O6" i="59"/>
  <c r="O101" i="57"/>
  <c r="O6" i="57"/>
  <c r="O5" i="57"/>
  <c r="O6" i="52"/>
  <c r="O5" i="52"/>
  <c r="O101" i="48"/>
  <c r="O6" i="48"/>
  <c r="O5" i="48"/>
  <c r="H6" i="50"/>
  <c r="H5" i="50"/>
  <c r="O131" i="56"/>
  <c r="O6" i="56"/>
  <c r="O5" i="56"/>
  <c r="H6" i="58"/>
  <c r="H5" i="58"/>
  <c r="O168" i="60"/>
  <c r="H6" i="61"/>
  <c r="H5" i="61"/>
  <c r="I6" i="53"/>
  <c r="I5" i="53"/>
  <c r="O36" i="47"/>
  <c r="O6" i="47"/>
  <c r="O5" i="47"/>
  <c r="J6" i="50"/>
  <c r="J5" i="50"/>
  <c r="L6" i="56"/>
  <c r="L5" i="56"/>
  <c r="M6" i="56"/>
  <c r="M5" i="56"/>
  <c r="O36" i="49"/>
  <c r="L6" i="49"/>
  <c r="L5" i="49"/>
  <c r="H6" i="49"/>
  <c r="H5" i="49"/>
  <c r="I6" i="58"/>
  <c r="I5" i="58"/>
  <c r="N6" i="59"/>
  <c r="N5" i="59"/>
  <c r="O101" i="58"/>
  <c r="O6" i="58"/>
  <c r="O5" i="58"/>
  <c r="O6" i="53"/>
  <c r="O5" i="53"/>
  <c r="O6" i="49"/>
  <c r="O5" i="49"/>
  <c r="O6" i="50"/>
  <c r="O5" i="50"/>
  <c r="O6" i="54"/>
  <c r="O5" i="54"/>
  <c r="O6" i="60"/>
  <c r="O5" i="60"/>
  <c r="H6" i="53"/>
  <c r="H5" i="53"/>
  <c r="O6" i="61"/>
  <c r="O5" i="61"/>
  <c r="O5" i="59"/>
  <c r="H6" i="59"/>
  <c r="H5" i="59"/>
  <c r="H6" i="57"/>
  <c r="H5" i="57"/>
  <c r="O6" i="55"/>
  <c r="O5" i="55"/>
  <c r="H6" i="52"/>
  <c r="H5" i="52"/>
  <c r="H6" i="48"/>
  <c r="H5" i="48"/>
  <c r="N220" i="46"/>
  <c r="L220" i="46"/>
  <c r="K220" i="46"/>
  <c r="N218" i="46"/>
  <c r="L218" i="46"/>
  <c r="K218" i="46"/>
  <c r="N215" i="46"/>
  <c r="L215" i="46"/>
  <c r="K215" i="46"/>
  <c r="J215" i="46"/>
  <c r="N213" i="46"/>
  <c r="M213" i="46"/>
  <c r="L213" i="46"/>
  <c r="K213" i="46"/>
  <c r="J213" i="46"/>
  <c r="I213" i="46"/>
  <c r="N209" i="46"/>
  <c r="L209" i="46"/>
  <c r="K209" i="46"/>
  <c r="N207" i="46"/>
  <c r="L207" i="46"/>
  <c r="K207" i="46"/>
  <c r="J207" i="46"/>
  <c r="N203" i="46"/>
  <c r="M203" i="46"/>
  <c r="L203" i="46"/>
  <c r="K203" i="46"/>
  <c r="J203" i="46"/>
  <c r="H203" i="46"/>
  <c r="N201" i="46"/>
  <c r="M201" i="46"/>
  <c r="L201" i="46"/>
  <c r="K201" i="46"/>
  <c r="J201" i="46"/>
  <c r="H201" i="46"/>
  <c r="N198" i="46"/>
  <c r="L198" i="46"/>
  <c r="K198" i="46"/>
  <c r="J198" i="46"/>
  <c r="N196" i="46"/>
  <c r="L196" i="46"/>
  <c r="K196" i="46"/>
  <c r="J196" i="46"/>
  <c r="N193" i="46"/>
  <c r="L193" i="46"/>
  <c r="K193" i="46"/>
  <c r="J193" i="46"/>
  <c r="N191" i="46"/>
  <c r="L191" i="46"/>
  <c r="K191" i="46"/>
  <c r="J191" i="46"/>
  <c r="N186" i="46"/>
  <c r="M186" i="46"/>
  <c r="L186" i="46"/>
  <c r="J186" i="46"/>
  <c r="I186" i="46"/>
  <c r="N185" i="46"/>
  <c r="M185" i="46"/>
  <c r="L185" i="46"/>
  <c r="K185" i="46"/>
  <c r="J185" i="46"/>
  <c r="I185" i="46"/>
  <c r="H185" i="46"/>
  <c r="N183" i="46"/>
  <c r="M183" i="46"/>
  <c r="L183" i="46"/>
  <c r="K183" i="46"/>
  <c r="J183" i="46"/>
  <c r="H183" i="46"/>
  <c r="J181" i="46"/>
  <c r="H181" i="46"/>
  <c r="N178" i="46"/>
  <c r="L178" i="46"/>
  <c r="K178" i="46"/>
  <c r="J178" i="46"/>
  <c r="N177" i="46"/>
  <c r="M177" i="46"/>
  <c r="L177" i="46"/>
  <c r="K177" i="46"/>
  <c r="J177" i="46"/>
  <c r="H177" i="46"/>
  <c r="N175" i="46"/>
  <c r="L175" i="46"/>
  <c r="K175" i="46"/>
  <c r="J175" i="46"/>
  <c r="N173" i="46"/>
  <c r="L173" i="46"/>
  <c r="K173" i="46"/>
  <c r="N172" i="46"/>
  <c r="L172" i="46"/>
  <c r="K172" i="46"/>
  <c r="N171" i="46"/>
  <c r="L171" i="46"/>
  <c r="K171" i="46"/>
  <c r="N152" i="46"/>
  <c r="M152" i="46"/>
  <c r="L152" i="46"/>
  <c r="K152" i="46"/>
  <c r="J152" i="46"/>
  <c r="I152" i="46"/>
  <c r="H152" i="46"/>
  <c r="N151" i="46"/>
  <c r="N150" i="46"/>
  <c r="M151" i="46"/>
  <c r="M150" i="46"/>
  <c r="L151" i="46"/>
  <c r="K151" i="46"/>
  <c r="J151" i="46"/>
  <c r="J150" i="46"/>
  <c r="I151" i="46"/>
  <c r="I150" i="46"/>
  <c r="H151" i="46"/>
  <c r="N83" i="46"/>
  <c r="M83" i="46"/>
  <c r="L83" i="46"/>
  <c r="K83" i="46"/>
  <c r="J83" i="46"/>
  <c r="I83" i="46"/>
  <c r="H83" i="46"/>
  <c r="O187" i="46"/>
  <c r="O184" i="46"/>
  <c r="O182" i="46"/>
  <c r="O180" i="46"/>
  <c r="O179" i="46"/>
  <c r="O176" i="46"/>
  <c r="O174" i="46"/>
  <c r="O165" i="46"/>
  <c r="O164" i="46"/>
  <c r="O163" i="46"/>
  <c r="O162" i="46"/>
  <c r="O161" i="46"/>
  <c r="O159" i="46"/>
  <c r="O157" i="46"/>
  <c r="O156" i="46"/>
  <c r="N155" i="46"/>
  <c r="N154" i="46"/>
  <c r="M155" i="46"/>
  <c r="L155" i="46"/>
  <c r="L154" i="46"/>
  <c r="K155" i="46"/>
  <c r="K154" i="46"/>
  <c r="J155" i="46"/>
  <c r="J154" i="46"/>
  <c r="H155" i="46"/>
  <c r="M154" i="46"/>
  <c r="H154" i="46"/>
  <c r="L150" i="46"/>
  <c r="K145" i="46"/>
  <c r="L145" i="46"/>
  <c r="M145" i="46"/>
  <c r="N145" i="46"/>
  <c r="K150" i="46"/>
  <c r="O152" i="46"/>
  <c r="O185" i="46"/>
  <c r="K188" i="46"/>
  <c r="L188" i="46"/>
  <c r="N188" i="46"/>
  <c r="N204" i="46"/>
  <c r="K204" i="46"/>
  <c r="L204" i="46"/>
  <c r="H145" i="46"/>
  <c r="O151" i="46"/>
  <c r="O83" i="46"/>
  <c r="H150" i="46"/>
  <c r="J145" i="46"/>
  <c r="J188" i="46"/>
  <c r="I145" i="46"/>
  <c r="O150" i="46"/>
  <c r="O145" i="46"/>
  <c r="N220" i="45"/>
  <c r="L220" i="45"/>
  <c r="K220" i="45"/>
  <c r="N218" i="45"/>
  <c r="L218" i="45"/>
  <c r="K218" i="45"/>
  <c r="N215" i="45"/>
  <c r="L215" i="45"/>
  <c r="K215" i="45"/>
  <c r="J215" i="45"/>
  <c r="N213" i="45"/>
  <c r="M213" i="45"/>
  <c r="L213" i="45"/>
  <c r="K213" i="45"/>
  <c r="J213" i="45"/>
  <c r="I213" i="45"/>
  <c r="N209" i="45"/>
  <c r="L209" i="45"/>
  <c r="K209" i="45"/>
  <c r="N207" i="45"/>
  <c r="L207" i="45"/>
  <c r="K207" i="45"/>
  <c r="J207" i="45"/>
  <c r="N203" i="45"/>
  <c r="M203" i="45"/>
  <c r="L203" i="45"/>
  <c r="K203" i="45"/>
  <c r="J203" i="45"/>
  <c r="H203" i="45"/>
  <c r="N201" i="45"/>
  <c r="M201" i="45"/>
  <c r="L201" i="45"/>
  <c r="K201" i="45"/>
  <c r="J201" i="45"/>
  <c r="H201" i="45"/>
  <c r="N198" i="45"/>
  <c r="L198" i="45"/>
  <c r="K198" i="45"/>
  <c r="J198" i="45"/>
  <c r="N196" i="45"/>
  <c r="L196" i="45"/>
  <c r="K196" i="45"/>
  <c r="J196" i="45"/>
  <c r="N193" i="45"/>
  <c r="L193" i="45"/>
  <c r="K193" i="45"/>
  <c r="J193" i="45"/>
  <c r="N191" i="45"/>
  <c r="L191" i="45"/>
  <c r="K191" i="45"/>
  <c r="J191" i="45"/>
  <c r="N186" i="45"/>
  <c r="M186" i="45"/>
  <c r="L186" i="45"/>
  <c r="J186" i="45"/>
  <c r="I186" i="45"/>
  <c r="N185" i="45"/>
  <c r="M185" i="45"/>
  <c r="L185" i="45"/>
  <c r="K185" i="45"/>
  <c r="J185" i="45"/>
  <c r="I185" i="45"/>
  <c r="H185" i="45"/>
  <c r="N183" i="45"/>
  <c r="M183" i="45"/>
  <c r="L183" i="45"/>
  <c r="K183" i="45"/>
  <c r="J183" i="45"/>
  <c r="H183" i="45"/>
  <c r="J181" i="45"/>
  <c r="H181" i="45"/>
  <c r="N178" i="45"/>
  <c r="L178" i="45"/>
  <c r="K178" i="45"/>
  <c r="J178" i="45"/>
  <c r="N177" i="45"/>
  <c r="M177" i="45"/>
  <c r="L177" i="45"/>
  <c r="K177" i="45"/>
  <c r="J177" i="45"/>
  <c r="H177" i="45"/>
  <c r="N175" i="45"/>
  <c r="L175" i="45"/>
  <c r="K175" i="45"/>
  <c r="J175" i="45"/>
  <c r="N173" i="45"/>
  <c r="L173" i="45"/>
  <c r="K173" i="45"/>
  <c r="N172" i="45"/>
  <c r="L172" i="45"/>
  <c r="K172" i="45"/>
  <c r="N171" i="45"/>
  <c r="L171" i="45"/>
  <c r="K171" i="45"/>
  <c r="N152" i="45"/>
  <c r="M152" i="45"/>
  <c r="L152" i="45"/>
  <c r="K152" i="45"/>
  <c r="J152" i="45"/>
  <c r="I152" i="45"/>
  <c r="H152" i="45"/>
  <c r="N151" i="45"/>
  <c r="M151" i="45"/>
  <c r="L151" i="45"/>
  <c r="K151" i="45"/>
  <c r="K150" i="45"/>
  <c r="J151" i="45"/>
  <c r="I151" i="45"/>
  <c r="H151" i="45"/>
  <c r="N83" i="45"/>
  <c r="M83" i="45"/>
  <c r="L83" i="45"/>
  <c r="K83" i="45"/>
  <c r="J83" i="45"/>
  <c r="I83" i="45"/>
  <c r="H83" i="45"/>
  <c r="O187" i="45"/>
  <c r="O184" i="45"/>
  <c r="O182" i="45"/>
  <c r="O180" i="45"/>
  <c r="O179" i="45"/>
  <c r="O176" i="45"/>
  <c r="O174" i="45"/>
  <c r="O165" i="45"/>
  <c r="O164" i="45"/>
  <c r="O163" i="45"/>
  <c r="O162" i="45"/>
  <c r="O161" i="45"/>
  <c r="O159" i="45"/>
  <c r="O157" i="45"/>
  <c r="O156" i="45"/>
  <c r="N155" i="45"/>
  <c r="N154" i="45"/>
  <c r="M155" i="45"/>
  <c r="M154" i="45"/>
  <c r="L155" i="45"/>
  <c r="L154" i="45"/>
  <c r="K155" i="45"/>
  <c r="K154" i="45"/>
  <c r="J155" i="45"/>
  <c r="J154" i="45"/>
  <c r="H155" i="45"/>
  <c r="H154" i="45"/>
  <c r="I150" i="45"/>
  <c r="M150" i="45"/>
  <c r="J145" i="45"/>
  <c r="N145" i="45"/>
  <c r="J150" i="45"/>
  <c r="N150" i="45"/>
  <c r="J188" i="45"/>
  <c r="N188" i="45"/>
  <c r="H150" i="45"/>
  <c r="L150" i="45"/>
  <c r="H145" i="45"/>
  <c r="I145" i="45"/>
  <c r="K188" i="45"/>
  <c r="L188" i="45"/>
  <c r="N204" i="45"/>
  <c r="O83" i="45"/>
  <c r="O152" i="45"/>
  <c r="K204" i="45"/>
  <c r="K145" i="45"/>
  <c r="L145" i="45"/>
  <c r="M145" i="45"/>
  <c r="O185" i="45"/>
  <c r="L204" i="45"/>
  <c r="O151" i="45"/>
  <c r="N220" i="44"/>
  <c r="L220" i="44"/>
  <c r="K220" i="44"/>
  <c r="N218" i="44"/>
  <c r="L218" i="44"/>
  <c r="K218" i="44"/>
  <c r="N215" i="44"/>
  <c r="L215" i="44"/>
  <c r="K215" i="44"/>
  <c r="J215" i="44"/>
  <c r="N213" i="44"/>
  <c r="M213" i="44"/>
  <c r="L213" i="44"/>
  <c r="K213" i="44"/>
  <c r="J213" i="44"/>
  <c r="I213" i="44"/>
  <c r="N209" i="44"/>
  <c r="L209" i="44"/>
  <c r="K209" i="44"/>
  <c r="N207" i="44"/>
  <c r="L207" i="44"/>
  <c r="K207" i="44"/>
  <c r="J207" i="44"/>
  <c r="N203" i="44"/>
  <c r="M203" i="44"/>
  <c r="L203" i="44"/>
  <c r="K203" i="44"/>
  <c r="J203" i="44"/>
  <c r="H203" i="44"/>
  <c r="N201" i="44"/>
  <c r="M201" i="44"/>
  <c r="L201" i="44"/>
  <c r="K201" i="44"/>
  <c r="J201" i="44"/>
  <c r="H201" i="44"/>
  <c r="N198" i="44"/>
  <c r="L198" i="44"/>
  <c r="K198" i="44"/>
  <c r="J198" i="44"/>
  <c r="N196" i="44"/>
  <c r="L196" i="44"/>
  <c r="K196" i="44"/>
  <c r="J196" i="44"/>
  <c r="N193" i="44"/>
  <c r="L193" i="44"/>
  <c r="K193" i="44"/>
  <c r="J193" i="44"/>
  <c r="N191" i="44"/>
  <c r="L191" i="44"/>
  <c r="K191" i="44"/>
  <c r="J191" i="44"/>
  <c r="N186" i="44"/>
  <c r="M186" i="44"/>
  <c r="L186" i="44"/>
  <c r="J186" i="44"/>
  <c r="I186" i="44"/>
  <c r="N185" i="44"/>
  <c r="M185" i="44"/>
  <c r="L185" i="44"/>
  <c r="K185" i="44"/>
  <c r="J185" i="44"/>
  <c r="I185" i="44"/>
  <c r="H185" i="44"/>
  <c r="N183" i="44"/>
  <c r="M183" i="44"/>
  <c r="L183" i="44"/>
  <c r="K183" i="44"/>
  <c r="J183" i="44"/>
  <c r="H183" i="44"/>
  <c r="J181" i="44"/>
  <c r="H181" i="44"/>
  <c r="N178" i="44"/>
  <c r="L178" i="44"/>
  <c r="K178" i="44"/>
  <c r="J178" i="44"/>
  <c r="N177" i="44"/>
  <c r="M177" i="44"/>
  <c r="L177" i="44"/>
  <c r="K177" i="44"/>
  <c r="J177" i="44"/>
  <c r="H177" i="44"/>
  <c r="N175" i="44"/>
  <c r="L175" i="44"/>
  <c r="K175" i="44"/>
  <c r="J175" i="44"/>
  <c r="N173" i="44"/>
  <c r="L173" i="44"/>
  <c r="K173" i="44"/>
  <c r="N172" i="44"/>
  <c r="L172" i="44"/>
  <c r="K172" i="44"/>
  <c r="N171" i="44"/>
  <c r="L171" i="44"/>
  <c r="K171" i="44"/>
  <c r="N152" i="44"/>
  <c r="M152" i="44"/>
  <c r="L152" i="44"/>
  <c r="K152" i="44"/>
  <c r="J152" i="44"/>
  <c r="I152" i="44"/>
  <c r="H152" i="44"/>
  <c r="N151" i="44"/>
  <c r="N150" i="44"/>
  <c r="M151" i="44"/>
  <c r="L151" i="44"/>
  <c r="K151" i="44"/>
  <c r="J151" i="44"/>
  <c r="J150" i="44"/>
  <c r="I151" i="44"/>
  <c r="H151" i="44"/>
  <c r="N83" i="44"/>
  <c r="M83" i="44"/>
  <c r="L83" i="44"/>
  <c r="K83" i="44"/>
  <c r="J83" i="44"/>
  <c r="I83" i="44"/>
  <c r="H83" i="44"/>
  <c r="O187" i="44"/>
  <c r="O184" i="44"/>
  <c r="O182" i="44"/>
  <c r="O180" i="44"/>
  <c r="O179" i="44"/>
  <c r="O176" i="44"/>
  <c r="O174" i="44"/>
  <c r="O165" i="44"/>
  <c r="O164" i="44"/>
  <c r="O163" i="44"/>
  <c r="O162" i="44"/>
  <c r="O161" i="44"/>
  <c r="O159" i="44"/>
  <c r="O157" i="44"/>
  <c r="O156" i="44"/>
  <c r="N155" i="44"/>
  <c r="N154" i="44"/>
  <c r="M155" i="44"/>
  <c r="M154" i="44"/>
  <c r="L155" i="44"/>
  <c r="L154" i="44"/>
  <c r="K155" i="44"/>
  <c r="K154" i="44"/>
  <c r="J155" i="44"/>
  <c r="J154" i="44"/>
  <c r="H155" i="44"/>
  <c r="H154" i="44"/>
  <c r="I150" i="44"/>
  <c r="K204" i="44"/>
  <c r="M150" i="44"/>
  <c r="O83" i="44"/>
  <c r="K145" i="44"/>
  <c r="K150" i="44"/>
  <c r="N204" i="44"/>
  <c r="K188" i="44"/>
  <c r="L145" i="44"/>
  <c r="I145" i="44"/>
  <c r="M145" i="44"/>
  <c r="N145" i="44"/>
  <c r="O152" i="44"/>
  <c r="L150" i="44"/>
  <c r="L188" i="44"/>
  <c r="N188" i="44"/>
  <c r="O150" i="45"/>
  <c r="H150" i="44"/>
  <c r="O151" i="44"/>
  <c r="O145" i="45"/>
  <c r="O185" i="44"/>
  <c r="L204" i="44"/>
  <c r="J188" i="44"/>
  <c r="J145" i="44"/>
  <c r="H145" i="44"/>
  <c r="N220" i="43"/>
  <c r="L220" i="43"/>
  <c r="K220" i="43"/>
  <c r="N218" i="43"/>
  <c r="L218" i="43"/>
  <c r="K218" i="43"/>
  <c r="N215" i="43"/>
  <c r="L215" i="43"/>
  <c r="K215" i="43"/>
  <c r="J215" i="43"/>
  <c r="N213" i="43"/>
  <c r="M213" i="43"/>
  <c r="L213" i="43"/>
  <c r="K213" i="43"/>
  <c r="J213" i="43"/>
  <c r="I213" i="43"/>
  <c r="N209" i="43"/>
  <c r="L209" i="43"/>
  <c r="K209" i="43"/>
  <c r="N207" i="43"/>
  <c r="L207" i="43"/>
  <c r="K207" i="43"/>
  <c r="J207" i="43"/>
  <c r="N203" i="43"/>
  <c r="M203" i="43"/>
  <c r="L203" i="43"/>
  <c r="K203" i="43"/>
  <c r="J203" i="43"/>
  <c r="H203" i="43"/>
  <c r="N201" i="43"/>
  <c r="M201" i="43"/>
  <c r="L201" i="43"/>
  <c r="K201" i="43"/>
  <c r="J201" i="43"/>
  <c r="H201" i="43"/>
  <c r="N198" i="43"/>
  <c r="L198" i="43"/>
  <c r="K198" i="43"/>
  <c r="J198" i="43"/>
  <c r="N196" i="43"/>
  <c r="L196" i="43"/>
  <c r="K196" i="43"/>
  <c r="J196" i="43"/>
  <c r="N193" i="43"/>
  <c r="L193" i="43"/>
  <c r="K193" i="43"/>
  <c r="J193" i="43"/>
  <c r="N191" i="43"/>
  <c r="L191" i="43"/>
  <c r="K191" i="43"/>
  <c r="J191" i="43"/>
  <c r="N186" i="43"/>
  <c r="M186" i="43"/>
  <c r="L186" i="43"/>
  <c r="J186" i="43"/>
  <c r="I186" i="43"/>
  <c r="N185" i="43"/>
  <c r="M185" i="43"/>
  <c r="L185" i="43"/>
  <c r="K185" i="43"/>
  <c r="J185" i="43"/>
  <c r="I185" i="43"/>
  <c r="H185" i="43"/>
  <c r="N183" i="43"/>
  <c r="M183" i="43"/>
  <c r="L183" i="43"/>
  <c r="K183" i="43"/>
  <c r="J183" i="43"/>
  <c r="H183" i="43"/>
  <c r="J181" i="43"/>
  <c r="H181" i="43"/>
  <c r="N178" i="43"/>
  <c r="L178" i="43"/>
  <c r="K178" i="43"/>
  <c r="J178" i="43"/>
  <c r="N177" i="43"/>
  <c r="M177" i="43"/>
  <c r="L177" i="43"/>
  <c r="K177" i="43"/>
  <c r="J177" i="43"/>
  <c r="H177" i="43"/>
  <c r="N175" i="43"/>
  <c r="L175" i="43"/>
  <c r="K175" i="43"/>
  <c r="J175" i="43"/>
  <c r="N173" i="43"/>
  <c r="L173" i="43"/>
  <c r="K173" i="43"/>
  <c r="N172" i="43"/>
  <c r="L172" i="43"/>
  <c r="K172" i="43"/>
  <c r="N171" i="43"/>
  <c r="L171" i="43"/>
  <c r="K171" i="43"/>
  <c r="N152" i="43"/>
  <c r="M152" i="43"/>
  <c r="L152" i="43"/>
  <c r="K152" i="43"/>
  <c r="J152" i="43"/>
  <c r="I152" i="43"/>
  <c r="H152" i="43"/>
  <c r="N151" i="43"/>
  <c r="M151" i="43"/>
  <c r="L151" i="43"/>
  <c r="K151" i="43"/>
  <c r="J151" i="43"/>
  <c r="J150" i="43"/>
  <c r="I151" i="43"/>
  <c r="H151" i="43"/>
  <c r="N83" i="43"/>
  <c r="M83" i="43"/>
  <c r="L83" i="43"/>
  <c r="K83" i="43"/>
  <c r="J83" i="43"/>
  <c r="I83" i="43"/>
  <c r="H83" i="43"/>
  <c r="O187" i="43"/>
  <c r="O184" i="43"/>
  <c r="O182" i="43"/>
  <c r="O180" i="43"/>
  <c r="O179" i="43"/>
  <c r="O176" i="43"/>
  <c r="O174" i="43"/>
  <c r="O165" i="43"/>
  <c r="O164" i="43"/>
  <c r="O163" i="43"/>
  <c r="O162" i="43"/>
  <c r="O161" i="43"/>
  <c r="O159" i="43"/>
  <c r="O157" i="43"/>
  <c r="O156" i="43"/>
  <c r="N155" i="43"/>
  <c r="N154" i="43"/>
  <c r="M155" i="43"/>
  <c r="M154" i="43"/>
  <c r="L155" i="43"/>
  <c r="K155" i="43"/>
  <c r="J155" i="43"/>
  <c r="J154" i="43"/>
  <c r="H155" i="43"/>
  <c r="H154" i="43"/>
  <c r="L154" i="43"/>
  <c r="K154" i="43"/>
  <c r="O150" i="44"/>
  <c r="O145" i="44"/>
  <c r="I150" i="43"/>
  <c r="N150" i="43"/>
  <c r="M150" i="43"/>
  <c r="N145" i="43"/>
  <c r="O151" i="43"/>
  <c r="O185" i="43"/>
  <c r="K188" i="43"/>
  <c r="L204" i="43"/>
  <c r="N204" i="43"/>
  <c r="H150" i="43"/>
  <c r="L150" i="43"/>
  <c r="J145" i="43"/>
  <c r="O83" i="43"/>
  <c r="K145" i="43"/>
  <c r="H145" i="43"/>
  <c r="L145" i="43"/>
  <c r="I145" i="43"/>
  <c r="M145" i="43"/>
  <c r="K150" i="43"/>
  <c r="L188" i="43"/>
  <c r="N188" i="43"/>
  <c r="K204" i="43"/>
  <c r="O152" i="43"/>
  <c r="J188" i="43"/>
  <c r="H83" i="39"/>
  <c r="I83" i="39"/>
  <c r="J83" i="39"/>
  <c r="K83" i="39"/>
  <c r="L83" i="39"/>
  <c r="M83" i="39"/>
  <c r="N83" i="39"/>
  <c r="O150" i="43"/>
  <c r="K35" i="39"/>
  <c r="K35" i="46"/>
  <c r="N35" i="46"/>
  <c r="J35" i="46"/>
  <c r="L35" i="46"/>
  <c r="I35" i="46"/>
  <c r="M35" i="46"/>
  <c r="H35" i="46"/>
  <c r="L35" i="45"/>
  <c r="H35" i="45"/>
  <c r="K35" i="45"/>
  <c r="N35" i="45"/>
  <c r="M35" i="45"/>
  <c r="I35" i="45"/>
  <c r="J35" i="45"/>
  <c r="L35" i="44"/>
  <c r="H35" i="44"/>
  <c r="M35" i="44"/>
  <c r="I35" i="44"/>
  <c r="K35" i="44"/>
  <c r="J35" i="44"/>
  <c r="N35" i="44"/>
  <c r="L35" i="43"/>
  <c r="H35" i="43"/>
  <c r="N35" i="43"/>
  <c r="M35" i="43"/>
  <c r="I35" i="43"/>
  <c r="J35" i="43"/>
  <c r="K35" i="43"/>
  <c r="H100" i="39"/>
  <c r="K100" i="46"/>
  <c r="L100" i="46"/>
  <c r="N100" i="46"/>
  <c r="J100" i="46"/>
  <c r="H100" i="46"/>
  <c r="I100" i="46"/>
  <c r="M100" i="46"/>
  <c r="L100" i="45"/>
  <c r="H100" i="45"/>
  <c r="M100" i="45"/>
  <c r="K100" i="45"/>
  <c r="I100" i="45"/>
  <c r="J100" i="45"/>
  <c r="N100" i="45"/>
  <c r="L100" i="44"/>
  <c r="H100" i="44"/>
  <c r="M100" i="44"/>
  <c r="I100" i="44"/>
  <c r="J100" i="44"/>
  <c r="N100" i="44"/>
  <c r="K100" i="44"/>
  <c r="L100" i="43"/>
  <c r="H100" i="43"/>
  <c r="J100" i="43"/>
  <c r="K100" i="43"/>
  <c r="M100" i="43"/>
  <c r="I100" i="43"/>
  <c r="N100" i="43"/>
  <c r="I22" i="39"/>
  <c r="K22" i="46"/>
  <c r="N22" i="46"/>
  <c r="J22" i="46"/>
  <c r="L22" i="46"/>
  <c r="M22" i="46"/>
  <c r="H22" i="46"/>
  <c r="I22" i="46"/>
  <c r="O22" i="46"/>
  <c r="L22" i="45"/>
  <c r="H22" i="45"/>
  <c r="K22" i="45"/>
  <c r="N22" i="45"/>
  <c r="I22" i="45"/>
  <c r="J22" i="45"/>
  <c r="M22" i="45"/>
  <c r="L22" i="44"/>
  <c r="H22" i="44"/>
  <c r="M22" i="44"/>
  <c r="I22" i="44"/>
  <c r="K22" i="44"/>
  <c r="N22" i="44"/>
  <c r="J22" i="44"/>
  <c r="L22" i="43"/>
  <c r="H22" i="43"/>
  <c r="N22" i="43"/>
  <c r="M22" i="43"/>
  <c r="I22" i="43"/>
  <c r="J22" i="43"/>
  <c r="K22" i="43"/>
  <c r="L35" i="39"/>
  <c r="L55" i="39"/>
  <c r="K55" i="46"/>
  <c r="H55" i="46"/>
  <c r="N55" i="46"/>
  <c r="J55" i="46"/>
  <c r="L55" i="46"/>
  <c r="M55" i="46"/>
  <c r="I55" i="46"/>
  <c r="L55" i="45"/>
  <c r="H55" i="45"/>
  <c r="K55" i="45"/>
  <c r="M55" i="45"/>
  <c r="I55" i="45"/>
  <c r="J55" i="45"/>
  <c r="O55" i="45"/>
  <c r="N55" i="45"/>
  <c r="L55" i="44"/>
  <c r="H55" i="44"/>
  <c r="M55" i="44"/>
  <c r="I55" i="44"/>
  <c r="K55" i="44"/>
  <c r="J55" i="44"/>
  <c r="N55" i="44"/>
  <c r="L55" i="43"/>
  <c r="H55" i="43"/>
  <c r="N55" i="43"/>
  <c r="M55" i="43"/>
  <c r="I55" i="43"/>
  <c r="J55" i="43"/>
  <c r="K55" i="43"/>
  <c r="L89" i="39"/>
  <c r="N89" i="46"/>
  <c r="J89" i="46"/>
  <c r="M89" i="46"/>
  <c r="I89" i="46"/>
  <c r="K89" i="46"/>
  <c r="H89" i="46"/>
  <c r="L89" i="46"/>
  <c r="K89" i="45"/>
  <c r="N89" i="45"/>
  <c r="J89" i="45"/>
  <c r="L89" i="45"/>
  <c r="H89" i="45"/>
  <c r="I89" i="45"/>
  <c r="M89" i="45"/>
  <c r="K89" i="44"/>
  <c r="L89" i="44"/>
  <c r="H89" i="44"/>
  <c r="I89" i="44"/>
  <c r="M89" i="44"/>
  <c r="N89" i="44"/>
  <c r="J89" i="44"/>
  <c r="K89" i="43"/>
  <c r="I89" i="43"/>
  <c r="J89" i="43"/>
  <c r="O89" i="43"/>
  <c r="L89" i="43"/>
  <c r="H89" i="43"/>
  <c r="M89" i="43"/>
  <c r="N89" i="43"/>
  <c r="I95" i="39"/>
  <c r="N95" i="46"/>
  <c r="J95" i="46"/>
  <c r="K95" i="46"/>
  <c r="M95" i="46"/>
  <c r="I95" i="46"/>
  <c r="L95" i="46"/>
  <c r="H95" i="46"/>
  <c r="K95" i="45"/>
  <c r="L95" i="45"/>
  <c r="N95" i="45"/>
  <c r="J95" i="45"/>
  <c r="H95" i="45"/>
  <c r="M95" i="45"/>
  <c r="I95" i="45"/>
  <c r="K95" i="44"/>
  <c r="L95" i="44"/>
  <c r="H95" i="44"/>
  <c r="M95" i="44"/>
  <c r="N95" i="44"/>
  <c r="I95" i="44"/>
  <c r="J95" i="44"/>
  <c r="K95" i="43"/>
  <c r="M95" i="43"/>
  <c r="N95" i="43"/>
  <c r="L95" i="43"/>
  <c r="H95" i="43"/>
  <c r="I95" i="43"/>
  <c r="J95" i="43"/>
  <c r="H35" i="39"/>
  <c r="O145" i="43"/>
  <c r="I145" i="39"/>
  <c r="M145" i="39"/>
  <c r="L145" i="39"/>
  <c r="K145" i="39"/>
  <c r="O83" i="39"/>
  <c r="H145" i="39"/>
  <c r="J145" i="39"/>
  <c r="N145" i="39"/>
  <c r="M55" i="39"/>
  <c r="I55" i="39"/>
  <c r="K89" i="39"/>
  <c r="N95" i="39"/>
  <c r="J95" i="39"/>
  <c r="M100" i="39"/>
  <c r="I100" i="39"/>
  <c r="N55" i="39"/>
  <c r="J55" i="39"/>
  <c r="J89" i="39"/>
  <c r="N89" i="39"/>
  <c r="K95" i="39"/>
  <c r="N100" i="39"/>
  <c r="J100" i="39"/>
  <c r="K55" i="39"/>
  <c r="I89" i="39"/>
  <c r="M89" i="39"/>
  <c r="L95" i="39"/>
  <c r="H95" i="39"/>
  <c r="K100" i="39"/>
  <c r="H55" i="39"/>
  <c r="H89" i="39"/>
  <c r="M95" i="39"/>
  <c r="L100" i="39"/>
  <c r="I35" i="39"/>
  <c r="N35" i="39"/>
  <c r="J35" i="39"/>
  <c r="M35" i="39"/>
  <c r="N22" i="39"/>
  <c r="J22" i="39"/>
  <c r="K22" i="39"/>
  <c r="L22" i="39"/>
  <c r="H22" i="39"/>
  <c r="M22" i="39"/>
  <c r="O55" i="39"/>
  <c r="O100" i="44"/>
  <c r="O89" i="46"/>
  <c r="O100" i="46"/>
  <c r="O89" i="45"/>
  <c r="O55" i="44"/>
  <c r="O22" i="44"/>
  <c r="O55" i="43"/>
  <c r="I193" i="46"/>
  <c r="I193" i="45"/>
  <c r="I193" i="44"/>
  <c r="I193" i="43"/>
  <c r="O95" i="43"/>
  <c r="O95" i="46"/>
  <c r="O100" i="43"/>
  <c r="O35" i="44"/>
  <c r="O22" i="43"/>
  <c r="O35" i="45"/>
  <c r="O95" i="45"/>
  <c r="O95" i="44"/>
  <c r="O100" i="45"/>
  <c r="O89" i="44"/>
  <c r="O55" i="46"/>
  <c r="O22" i="45"/>
  <c r="O35" i="43"/>
  <c r="O35" i="46"/>
  <c r="O100" i="39"/>
  <c r="O35" i="39"/>
  <c r="O89" i="39"/>
  <c r="O22" i="39"/>
  <c r="O95" i="39"/>
  <c r="O145" i="39"/>
  <c r="N25" i="46"/>
  <c r="J25" i="46"/>
  <c r="M25" i="46"/>
  <c r="I25" i="46"/>
  <c r="K25" i="46"/>
  <c r="H25" i="46"/>
  <c r="O25" i="46"/>
  <c r="L25" i="46"/>
  <c r="K25" i="45"/>
  <c r="N25" i="45"/>
  <c r="J25" i="45"/>
  <c r="I25" i="45"/>
  <c r="M25" i="45"/>
  <c r="L25" i="45"/>
  <c r="H25" i="45"/>
  <c r="O25" i="45"/>
  <c r="K25" i="44"/>
  <c r="L25" i="44"/>
  <c r="H25" i="44"/>
  <c r="N25" i="44"/>
  <c r="J25" i="44"/>
  <c r="M25" i="44"/>
  <c r="I25" i="44"/>
  <c r="K25" i="43"/>
  <c r="I25" i="43"/>
  <c r="J25" i="43"/>
  <c r="L25" i="43"/>
  <c r="H25" i="43"/>
  <c r="O25" i="43"/>
  <c r="M25" i="43"/>
  <c r="N25" i="43"/>
  <c r="L76" i="39"/>
  <c r="L76" i="46"/>
  <c r="H76" i="46"/>
  <c r="I76" i="46"/>
  <c r="K76" i="46"/>
  <c r="M76" i="46"/>
  <c r="J76" i="46"/>
  <c r="N76" i="46"/>
  <c r="M76" i="45"/>
  <c r="I76" i="45"/>
  <c r="N76" i="45"/>
  <c r="L76" i="45"/>
  <c r="H76" i="45"/>
  <c r="J76" i="45"/>
  <c r="K76" i="45"/>
  <c r="M76" i="44"/>
  <c r="I76" i="44"/>
  <c r="N76" i="44"/>
  <c r="J76" i="44"/>
  <c r="L76" i="44"/>
  <c r="H76" i="44"/>
  <c r="K76" i="44"/>
  <c r="M76" i="43"/>
  <c r="I76" i="43"/>
  <c r="N76" i="43"/>
  <c r="J76" i="43"/>
  <c r="K76" i="43"/>
  <c r="L76" i="43"/>
  <c r="H76" i="43"/>
  <c r="N54" i="46"/>
  <c r="J54" i="46"/>
  <c r="M54" i="46"/>
  <c r="I54" i="46"/>
  <c r="K54" i="46"/>
  <c r="H54" i="46"/>
  <c r="L54" i="46"/>
  <c r="K54" i="45"/>
  <c r="L54" i="45"/>
  <c r="N54" i="45"/>
  <c r="J54" i="45"/>
  <c r="H54" i="45"/>
  <c r="I54" i="45"/>
  <c r="M54" i="45"/>
  <c r="K54" i="44"/>
  <c r="L54" i="44"/>
  <c r="H54" i="44"/>
  <c r="J54" i="44"/>
  <c r="N54" i="44"/>
  <c r="M54" i="44"/>
  <c r="I54" i="44"/>
  <c r="O54" i="44"/>
  <c r="K54" i="43"/>
  <c r="M54" i="43"/>
  <c r="N54" i="43"/>
  <c r="L54" i="43"/>
  <c r="H54" i="43"/>
  <c r="I54" i="43"/>
  <c r="J54" i="43"/>
  <c r="M93" i="46"/>
  <c r="I93" i="46"/>
  <c r="J93" i="46"/>
  <c r="L93" i="46"/>
  <c r="H93" i="46"/>
  <c r="O93" i="46"/>
  <c r="N93" i="46"/>
  <c r="K93" i="46"/>
  <c r="N93" i="45"/>
  <c r="J93" i="45"/>
  <c r="K93" i="45"/>
  <c r="M93" i="45"/>
  <c r="I93" i="45"/>
  <c r="L93" i="45"/>
  <c r="H93" i="45"/>
  <c r="N93" i="44"/>
  <c r="J93" i="44"/>
  <c r="K93" i="44"/>
  <c r="L93" i="44"/>
  <c r="H93" i="44"/>
  <c r="I93" i="44"/>
  <c r="M93" i="44"/>
  <c r="N93" i="43"/>
  <c r="J93" i="43"/>
  <c r="L93" i="43"/>
  <c r="M93" i="43"/>
  <c r="K93" i="43"/>
  <c r="H93" i="43"/>
  <c r="I93" i="43"/>
  <c r="L19" i="46"/>
  <c r="H19" i="46"/>
  <c r="K19" i="46"/>
  <c r="I19" i="46"/>
  <c r="M19" i="46"/>
  <c r="N19" i="46"/>
  <c r="J19" i="46"/>
  <c r="M19" i="45"/>
  <c r="I19" i="45"/>
  <c r="L19" i="45"/>
  <c r="H19" i="45"/>
  <c r="K19" i="45"/>
  <c r="N19" i="45"/>
  <c r="J19" i="45"/>
  <c r="M19" i="44"/>
  <c r="I19" i="44"/>
  <c r="N19" i="44"/>
  <c r="J19" i="44"/>
  <c r="H19" i="44"/>
  <c r="K19" i="44"/>
  <c r="L19" i="44"/>
  <c r="M19" i="43"/>
  <c r="I19" i="43"/>
  <c r="K19" i="43"/>
  <c r="L19" i="43"/>
  <c r="N19" i="43"/>
  <c r="J19" i="43"/>
  <c r="H19" i="43"/>
  <c r="M54" i="39"/>
  <c r="H54" i="39"/>
  <c r="L19" i="39"/>
  <c r="H19" i="39"/>
  <c r="N25" i="39"/>
  <c r="L54" i="39"/>
  <c r="K19" i="39"/>
  <c r="M19" i="39"/>
  <c r="I19" i="39"/>
  <c r="H25" i="39"/>
  <c r="L25" i="39"/>
  <c r="K54" i="39"/>
  <c r="J76" i="39"/>
  <c r="N76" i="39"/>
  <c r="H93" i="39"/>
  <c r="L93" i="39"/>
  <c r="K93" i="39"/>
  <c r="M93" i="39"/>
  <c r="J93" i="39"/>
  <c r="N93" i="39"/>
  <c r="I93" i="39"/>
  <c r="I25" i="39"/>
  <c r="K76" i="39"/>
  <c r="N19" i="39"/>
  <c r="J19" i="39"/>
  <c r="K25" i="39"/>
  <c r="J54" i="39"/>
  <c r="N54" i="39"/>
  <c r="I76" i="39"/>
  <c r="M76" i="39"/>
  <c r="M25" i="39"/>
  <c r="J25" i="39"/>
  <c r="I54" i="39"/>
  <c r="H76" i="39"/>
  <c r="O76" i="44"/>
  <c r="O93" i="44"/>
  <c r="O54" i="46"/>
  <c r="O76" i="46"/>
  <c r="O19" i="46"/>
  <c r="O19" i="45"/>
  <c r="O54" i="43"/>
  <c r="O93" i="43"/>
  <c r="O19" i="43"/>
  <c r="O93" i="45"/>
  <c r="O19" i="44"/>
  <c r="O54" i="45"/>
  <c r="O76" i="43"/>
  <c r="O76" i="45"/>
  <c r="O25" i="44"/>
  <c r="O54" i="39"/>
  <c r="O19" i="39"/>
  <c r="O93" i="39"/>
  <c r="O25" i="39"/>
  <c r="O76" i="39"/>
  <c r="I17" i="38"/>
  <c r="I33" i="38"/>
  <c r="K121" i="37"/>
  <c r="N181" i="46"/>
  <c r="N169" i="46"/>
  <c r="N168" i="46"/>
  <c r="N153" i="46"/>
  <c r="N181" i="45"/>
  <c r="N169" i="45"/>
  <c r="N168" i="45"/>
  <c r="N153" i="45"/>
  <c r="N181" i="44"/>
  <c r="N169" i="44"/>
  <c r="N168" i="44"/>
  <c r="N153" i="44"/>
  <c r="N181" i="43"/>
  <c r="N169" i="43"/>
  <c r="N168" i="43"/>
  <c r="N153" i="43"/>
  <c r="I177" i="46"/>
  <c r="O177" i="46"/>
  <c r="I177" i="45"/>
  <c r="O177" i="45"/>
  <c r="I177" i="44"/>
  <c r="O177" i="44"/>
  <c r="I177" i="43"/>
  <c r="O177" i="43"/>
  <c r="L181" i="46"/>
  <c r="L169" i="46"/>
  <c r="L168" i="46"/>
  <c r="L153" i="46"/>
  <c r="L181" i="45"/>
  <c r="L169" i="45"/>
  <c r="L168" i="45"/>
  <c r="L153" i="45"/>
  <c r="L181" i="44"/>
  <c r="L169" i="44"/>
  <c r="L168" i="44"/>
  <c r="L153" i="44"/>
  <c r="L181" i="43"/>
  <c r="L169" i="43"/>
  <c r="L168" i="43"/>
  <c r="L153" i="43"/>
  <c r="M181" i="46"/>
  <c r="M181" i="45"/>
  <c r="M181" i="44"/>
  <c r="M181" i="43"/>
  <c r="I201" i="46"/>
  <c r="O201" i="46"/>
  <c r="I201" i="45"/>
  <c r="O201" i="45"/>
  <c r="I201" i="44"/>
  <c r="O201" i="44"/>
  <c r="I201" i="43"/>
  <c r="O201" i="43"/>
  <c r="I181" i="46"/>
  <c r="O181" i="46"/>
  <c r="I181" i="45"/>
  <c r="O181" i="45"/>
  <c r="I181" i="44"/>
  <c r="O181" i="44"/>
  <c r="I181" i="43"/>
  <c r="O181" i="43"/>
  <c r="I183" i="46"/>
  <c r="O183" i="46"/>
  <c r="I183" i="45"/>
  <c r="O183" i="45"/>
  <c r="I183" i="44"/>
  <c r="O183" i="44"/>
  <c r="I183" i="43"/>
  <c r="O183" i="43"/>
  <c r="K181" i="46"/>
  <c r="K181" i="45"/>
  <c r="K181" i="44"/>
  <c r="K181" i="43"/>
  <c r="I203" i="46"/>
  <c r="O203" i="46"/>
  <c r="I203" i="45"/>
  <c r="O203" i="45"/>
  <c r="I203" i="44"/>
  <c r="O203" i="44"/>
  <c r="I203" i="43"/>
  <c r="O203" i="43"/>
  <c r="O176" i="39"/>
  <c r="O179" i="39"/>
  <c r="O180" i="39"/>
  <c r="O184" i="39"/>
  <c r="O174" i="39"/>
  <c r="O182" i="39"/>
  <c r="O187" i="39"/>
  <c r="J155" i="39"/>
  <c r="K155" i="39"/>
  <c r="L155" i="39"/>
  <c r="M155" i="39"/>
  <c r="N155" i="39"/>
  <c r="H155" i="39"/>
  <c r="O157" i="39"/>
  <c r="O159" i="39"/>
  <c r="O161" i="39"/>
  <c r="O162" i="39"/>
  <c r="O163" i="39"/>
  <c r="O164" i="39"/>
  <c r="O165" i="39"/>
  <c r="O156" i="39"/>
  <c r="J171" i="46"/>
  <c r="J171" i="45"/>
  <c r="J171" i="44"/>
  <c r="J171" i="43"/>
  <c r="J173" i="46"/>
  <c r="J173" i="45"/>
  <c r="J173" i="44"/>
  <c r="J173" i="43"/>
  <c r="H209" i="46"/>
  <c r="H209" i="45"/>
  <c r="H209" i="44"/>
  <c r="H209" i="43"/>
  <c r="K186" i="46"/>
  <c r="K186" i="45"/>
  <c r="K169" i="45"/>
  <c r="K168" i="45"/>
  <c r="K153" i="45"/>
  <c r="K186" i="44"/>
  <c r="K169" i="44"/>
  <c r="K168" i="44"/>
  <c r="K153" i="44"/>
  <c r="K186" i="43"/>
  <c r="I196" i="46"/>
  <c r="I196" i="45"/>
  <c r="I196" i="44"/>
  <c r="I196" i="43"/>
  <c r="H220" i="46"/>
  <c r="H220" i="45"/>
  <c r="H220" i="44"/>
  <c r="H220" i="43"/>
  <c r="I171" i="46"/>
  <c r="I171" i="45"/>
  <c r="I171" i="44"/>
  <c r="I171" i="43"/>
  <c r="I173" i="46"/>
  <c r="I173" i="45"/>
  <c r="I173" i="44"/>
  <c r="I173" i="43"/>
  <c r="M207" i="46"/>
  <c r="M207" i="45"/>
  <c r="M207" i="44"/>
  <c r="M207" i="43"/>
  <c r="M196" i="46"/>
  <c r="M196" i="45"/>
  <c r="M196" i="44"/>
  <c r="M196" i="43"/>
  <c r="J218" i="46"/>
  <c r="J218" i="45"/>
  <c r="J218" i="44"/>
  <c r="J218" i="43"/>
  <c r="M220" i="46"/>
  <c r="M220" i="45"/>
  <c r="M220" i="44"/>
  <c r="M220" i="43"/>
  <c r="H171" i="46"/>
  <c r="H171" i="45"/>
  <c r="H171" i="44"/>
  <c r="H171" i="43"/>
  <c r="H173" i="46"/>
  <c r="H173" i="45"/>
  <c r="O173" i="45"/>
  <c r="H173" i="44"/>
  <c r="H173" i="43"/>
  <c r="O173" i="43"/>
  <c r="H175" i="46"/>
  <c r="H175" i="45"/>
  <c r="H175" i="44"/>
  <c r="H175" i="43"/>
  <c r="I207" i="46"/>
  <c r="I207" i="45"/>
  <c r="I207" i="44"/>
  <c r="I207" i="43"/>
  <c r="J209" i="46"/>
  <c r="J209" i="45"/>
  <c r="J209" i="44"/>
  <c r="J209" i="43"/>
  <c r="M178" i="46"/>
  <c r="M178" i="45"/>
  <c r="M178" i="44"/>
  <c r="M178" i="43"/>
  <c r="I191" i="46"/>
  <c r="I191" i="45"/>
  <c r="I191" i="44"/>
  <c r="I191" i="43"/>
  <c r="H196" i="46"/>
  <c r="O196" i="46"/>
  <c r="H196" i="45"/>
  <c r="O196" i="45"/>
  <c r="H196" i="44"/>
  <c r="O196" i="44"/>
  <c r="H196" i="43"/>
  <c r="O196" i="43"/>
  <c r="I198" i="46"/>
  <c r="I198" i="45"/>
  <c r="I198" i="44"/>
  <c r="I198" i="43"/>
  <c r="M218" i="46"/>
  <c r="M218" i="45"/>
  <c r="M218" i="44"/>
  <c r="M218" i="43"/>
  <c r="J220" i="46"/>
  <c r="J220" i="45"/>
  <c r="J220" i="44"/>
  <c r="J220" i="43"/>
  <c r="I215" i="46"/>
  <c r="I215" i="45"/>
  <c r="I215" i="44"/>
  <c r="I215" i="43"/>
  <c r="I158" i="46"/>
  <c r="I158" i="45"/>
  <c r="I158" i="44"/>
  <c r="I158" i="43"/>
  <c r="J172" i="46"/>
  <c r="J172" i="45"/>
  <c r="J172" i="44"/>
  <c r="J172" i="43"/>
  <c r="M175" i="46"/>
  <c r="M175" i="45"/>
  <c r="M175" i="44"/>
  <c r="M175" i="43"/>
  <c r="H178" i="46"/>
  <c r="H178" i="45"/>
  <c r="H178" i="44"/>
  <c r="H178" i="43"/>
  <c r="H193" i="46"/>
  <c r="O193" i="46"/>
  <c r="H193" i="45"/>
  <c r="O193" i="45"/>
  <c r="H193" i="44"/>
  <c r="O193" i="44"/>
  <c r="H193" i="43"/>
  <c r="O193" i="43"/>
  <c r="H218" i="46"/>
  <c r="H218" i="45"/>
  <c r="H218" i="44"/>
  <c r="H218" i="43"/>
  <c r="H213" i="46"/>
  <c r="O213" i="46"/>
  <c r="H213" i="45"/>
  <c r="O213" i="45"/>
  <c r="H213" i="44"/>
  <c r="O213" i="44"/>
  <c r="H213" i="43"/>
  <c r="O213" i="43"/>
  <c r="I172" i="46"/>
  <c r="I172" i="45"/>
  <c r="I172" i="44"/>
  <c r="I172" i="43"/>
  <c r="I175" i="46"/>
  <c r="I175" i="45"/>
  <c r="I175" i="44"/>
  <c r="I175" i="43"/>
  <c r="M209" i="46"/>
  <c r="M209" i="45"/>
  <c r="M209" i="44"/>
  <c r="M209" i="43"/>
  <c r="H186" i="46"/>
  <c r="O186" i="46"/>
  <c r="H186" i="45"/>
  <c r="O186" i="45"/>
  <c r="H186" i="44"/>
  <c r="O186" i="44"/>
  <c r="H186" i="43"/>
  <c r="O186" i="43"/>
  <c r="M191" i="46"/>
  <c r="M191" i="45"/>
  <c r="M191" i="44"/>
  <c r="M191" i="43"/>
  <c r="M198" i="46"/>
  <c r="M198" i="45"/>
  <c r="M198" i="44"/>
  <c r="M198" i="43"/>
  <c r="M215" i="46"/>
  <c r="M215" i="45"/>
  <c r="M215" i="44"/>
  <c r="M215" i="43"/>
  <c r="H172" i="46"/>
  <c r="O172" i="46"/>
  <c r="H172" i="45"/>
  <c r="O172" i="45"/>
  <c r="H172" i="44"/>
  <c r="O172" i="44"/>
  <c r="H172" i="43"/>
  <c r="O172" i="43"/>
  <c r="I160" i="46"/>
  <c r="O160" i="46"/>
  <c r="I160" i="45"/>
  <c r="O160" i="45"/>
  <c r="I160" i="44"/>
  <c r="O160" i="44"/>
  <c r="I160" i="43"/>
  <c r="O160" i="43"/>
  <c r="M171" i="46"/>
  <c r="M171" i="45"/>
  <c r="M171" i="44"/>
  <c r="M171" i="43"/>
  <c r="M172" i="46"/>
  <c r="M172" i="45"/>
  <c r="M172" i="44"/>
  <c r="M172" i="43"/>
  <c r="M173" i="46"/>
  <c r="M173" i="45"/>
  <c r="M173" i="44"/>
  <c r="M173" i="43"/>
  <c r="H207" i="46"/>
  <c r="H207" i="45"/>
  <c r="H207" i="44"/>
  <c r="H207" i="43"/>
  <c r="I209" i="46"/>
  <c r="I209" i="45"/>
  <c r="I209" i="44"/>
  <c r="I209" i="43"/>
  <c r="I178" i="46"/>
  <c r="I178" i="45"/>
  <c r="I178" i="44"/>
  <c r="I178" i="43"/>
  <c r="H191" i="46"/>
  <c r="H191" i="45"/>
  <c r="H191" i="44"/>
  <c r="H191" i="43"/>
  <c r="M193" i="46"/>
  <c r="M193" i="45"/>
  <c r="M193" i="44"/>
  <c r="M193" i="43"/>
  <c r="H198" i="46"/>
  <c r="O198" i="46"/>
  <c r="H198" i="45"/>
  <c r="H198" i="44"/>
  <c r="H198" i="43"/>
  <c r="I218" i="46"/>
  <c r="I218" i="45"/>
  <c r="I218" i="44"/>
  <c r="I218" i="43"/>
  <c r="I220" i="46"/>
  <c r="I220" i="45"/>
  <c r="I220" i="44"/>
  <c r="I220" i="43"/>
  <c r="H215" i="46"/>
  <c r="O215" i="46"/>
  <c r="H215" i="45"/>
  <c r="H215" i="44"/>
  <c r="H215" i="43"/>
  <c r="K169" i="46"/>
  <c r="K168" i="46"/>
  <c r="K153" i="46"/>
  <c r="K169" i="43"/>
  <c r="K168" i="43"/>
  <c r="K153" i="43"/>
  <c r="J154" i="39"/>
  <c r="K154" i="39"/>
  <c r="L154" i="39"/>
  <c r="M154" i="39"/>
  <c r="N154" i="39"/>
  <c r="H154" i="39"/>
  <c r="O175" i="44"/>
  <c r="M188" i="44"/>
  <c r="O175" i="45"/>
  <c r="I169" i="44"/>
  <c r="O215" i="43"/>
  <c r="O198" i="43"/>
  <c r="O207" i="43"/>
  <c r="H204" i="43"/>
  <c r="O191" i="46"/>
  <c r="O188" i="46"/>
  <c r="H188" i="46"/>
  <c r="O207" i="46"/>
  <c r="H204" i="46"/>
  <c r="O158" i="46"/>
  <c r="O155" i="46"/>
  <c r="O154" i="46"/>
  <c r="I155" i="46"/>
  <c r="I154" i="46"/>
  <c r="O171" i="44"/>
  <c r="H169" i="44"/>
  <c r="H188" i="45"/>
  <c r="O191" i="45"/>
  <c r="H204" i="45"/>
  <c r="O207" i="45"/>
  <c r="H188" i="44"/>
  <c r="O191" i="44"/>
  <c r="O207" i="44"/>
  <c r="H204" i="44"/>
  <c r="O158" i="44"/>
  <c r="O155" i="44"/>
  <c r="O154" i="44"/>
  <c r="I155" i="44"/>
  <c r="I154" i="44"/>
  <c r="O171" i="46"/>
  <c r="H169" i="46"/>
  <c r="M188" i="43"/>
  <c r="I188" i="45"/>
  <c r="I204" i="45"/>
  <c r="O220" i="45"/>
  <c r="O209" i="45"/>
  <c r="J169" i="45"/>
  <c r="M169" i="46"/>
  <c r="O218" i="46"/>
  <c r="O178" i="46"/>
  <c r="J204" i="44"/>
  <c r="M204" i="44"/>
  <c r="O220" i="44"/>
  <c r="O198" i="45"/>
  <c r="M188" i="45"/>
  <c r="O215" i="44"/>
  <c r="O198" i="44"/>
  <c r="M169" i="44"/>
  <c r="O218" i="44"/>
  <c r="O178" i="44"/>
  <c r="J169" i="44"/>
  <c r="I188" i="46"/>
  <c r="J204" i="46"/>
  <c r="I204" i="46"/>
  <c r="O175" i="46"/>
  <c r="M204" i="46"/>
  <c r="I169" i="46"/>
  <c r="O220" i="46"/>
  <c r="O209" i="46"/>
  <c r="O173" i="46"/>
  <c r="J169" i="46"/>
  <c r="J168" i="46"/>
  <c r="J153" i="46"/>
  <c r="O191" i="43"/>
  <c r="H188" i="43"/>
  <c r="I155" i="43"/>
  <c r="I154" i="43"/>
  <c r="O158" i="43"/>
  <c r="O155" i="43"/>
  <c r="O154" i="43"/>
  <c r="O171" i="45"/>
  <c r="H169" i="45"/>
  <c r="O158" i="45"/>
  <c r="O155" i="45"/>
  <c r="O154" i="45"/>
  <c r="I155" i="45"/>
  <c r="I154" i="45"/>
  <c r="H169" i="43"/>
  <c r="O171" i="43"/>
  <c r="M169" i="43"/>
  <c r="O218" i="43"/>
  <c r="O178" i="43"/>
  <c r="J204" i="45"/>
  <c r="M204" i="45"/>
  <c r="I169" i="45"/>
  <c r="M188" i="46"/>
  <c r="I204" i="44"/>
  <c r="I188" i="44"/>
  <c r="O209" i="44"/>
  <c r="O173" i="44"/>
  <c r="O215" i="45"/>
  <c r="M169" i="45"/>
  <c r="O218" i="45"/>
  <c r="O178" i="45"/>
  <c r="I188" i="43"/>
  <c r="J204" i="43"/>
  <c r="I204" i="43"/>
  <c r="O175" i="43"/>
  <c r="M204" i="43"/>
  <c r="I169" i="43"/>
  <c r="O220" i="43"/>
  <c r="O209" i="43"/>
  <c r="J169" i="43"/>
  <c r="H151" i="39"/>
  <c r="I151" i="39"/>
  <c r="J151" i="39"/>
  <c r="K151" i="39"/>
  <c r="L151" i="39"/>
  <c r="M151" i="39"/>
  <c r="N151" i="39"/>
  <c r="H152" i="39"/>
  <c r="I152" i="39"/>
  <c r="J152" i="39"/>
  <c r="K152" i="39"/>
  <c r="L152" i="39"/>
  <c r="M152" i="39"/>
  <c r="N152" i="39"/>
  <c r="H168" i="46"/>
  <c r="H153" i="46"/>
  <c r="I168" i="46"/>
  <c r="I153" i="46"/>
  <c r="H168" i="45"/>
  <c r="H153" i="45"/>
  <c r="I168" i="45"/>
  <c r="I153" i="45"/>
  <c r="I168" i="44"/>
  <c r="I153" i="44"/>
  <c r="M168" i="44"/>
  <c r="M153" i="44"/>
  <c r="J168" i="44"/>
  <c r="J153" i="44"/>
  <c r="J168" i="43"/>
  <c r="J153" i="43"/>
  <c r="M168" i="43"/>
  <c r="M153" i="43"/>
  <c r="O188" i="43"/>
  <c r="O169" i="43"/>
  <c r="H168" i="44"/>
  <c r="H153" i="44"/>
  <c r="M168" i="45"/>
  <c r="M153" i="45"/>
  <c r="H168" i="43"/>
  <c r="H153" i="43"/>
  <c r="O169" i="45"/>
  <c r="M168" i="46"/>
  <c r="M153" i="46"/>
  <c r="O169" i="46"/>
  <c r="O204" i="44"/>
  <c r="O169" i="44"/>
  <c r="O204" i="46"/>
  <c r="O204" i="43"/>
  <c r="O168" i="43"/>
  <c r="O204" i="45"/>
  <c r="I168" i="43"/>
  <c r="I153" i="43"/>
  <c r="J168" i="45"/>
  <c r="J153" i="45"/>
  <c r="O188" i="44"/>
  <c r="O188" i="45"/>
  <c r="L150" i="39"/>
  <c r="H150" i="39"/>
  <c r="O151" i="39"/>
  <c r="M150" i="39"/>
  <c r="I150" i="39"/>
  <c r="N150" i="39"/>
  <c r="J150" i="39"/>
  <c r="O152" i="39"/>
  <c r="K150" i="39"/>
  <c r="H15" i="37"/>
  <c r="I15" i="37"/>
  <c r="J15" i="37"/>
  <c r="K15" i="37"/>
  <c r="O15" i="37"/>
  <c r="P15" i="37"/>
  <c r="H16" i="37"/>
  <c r="I16" i="37"/>
  <c r="J16" i="37"/>
  <c r="K16" i="37"/>
  <c r="O16" i="37"/>
  <c r="P16" i="37"/>
  <c r="H25" i="37"/>
  <c r="I25" i="37"/>
  <c r="J25" i="37"/>
  <c r="K25" i="37"/>
  <c r="O25" i="37"/>
  <c r="P25" i="37"/>
  <c r="H26" i="37"/>
  <c r="I26" i="37"/>
  <c r="J26" i="37"/>
  <c r="K26" i="37"/>
  <c r="O26" i="37"/>
  <c r="P26" i="37"/>
  <c r="H27" i="37"/>
  <c r="I27" i="37"/>
  <c r="J27" i="37"/>
  <c r="K27" i="37"/>
  <c r="O27" i="37"/>
  <c r="P27" i="37"/>
  <c r="H28" i="37"/>
  <c r="I28" i="37"/>
  <c r="J28" i="37"/>
  <c r="K28" i="37"/>
  <c r="O28" i="37"/>
  <c r="P28" i="37"/>
  <c r="H31" i="37"/>
  <c r="I31" i="37"/>
  <c r="J31" i="37"/>
  <c r="K31" i="37"/>
  <c r="O31" i="37"/>
  <c r="P31" i="37"/>
  <c r="H35" i="37"/>
  <c r="I35" i="37"/>
  <c r="J35" i="37"/>
  <c r="K35" i="37"/>
  <c r="O35" i="37"/>
  <c r="P35" i="37"/>
  <c r="H36" i="37"/>
  <c r="I36" i="37"/>
  <c r="J36" i="37"/>
  <c r="K36" i="37"/>
  <c r="O36" i="37"/>
  <c r="P36" i="37"/>
  <c r="H44" i="37"/>
  <c r="I44" i="37"/>
  <c r="J44" i="37"/>
  <c r="K44" i="37"/>
  <c r="O44" i="37"/>
  <c r="P44" i="37"/>
  <c r="H46" i="37"/>
  <c r="I46" i="37"/>
  <c r="J46" i="37"/>
  <c r="K46" i="37"/>
  <c r="O46" i="37"/>
  <c r="P46" i="37"/>
  <c r="H55" i="37"/>
  <c r="I55" i="37"/>
  <c r="J55" i="37"/>
  <c r="K55" i="37"/>
  <c r="O55" i="37"/>
  <c r="P55" i="37"/>
  <c r="H62" i="37"/>
  <c r="I62" i="37"/>
  <c r="J62" i="37"/>
  <c r="K62" i="37"/>
  <c r="O62" i="37"/>
  <c r="P62" i="37"/>
  <c r="H69" i="37"/>
  <c r="I69" i="37"/>
  <c r="J69" i="37"/>
  <c r="K69" i="37"/>
  <c r="O69" i="37"/>
  <c r="P69" i="37"/>
  <c r="H70" i="37"/>
  <c r="I70" i="37"/>
  <c r="J70" i="37"/>
  <c r="K70" i="37"/>
  <c r="O70" i="37"/>
  <c r="P70" i="37"/>
  <c r="H76" i="37"/>
  <c r="I76" i="37"/>
  <c r="J76" i="37"/>
  <c r="K76" i="37"/>
  <c r="O76" i="37"/>
  <c r="P76" i="37"/>
  <c r="H79" i="37"/>
  <c r="I79" i="37"/>
  <c r="J79" i="37"/>
  <c r="K79" i="37"/>
  <c r="O79" i="37"/>
  <c r="P79" i="37"/>
  <c r="H85" i="37"/>
  <c r="I85" i="37"/>
  <c r="J85" i="37"/>
  <c r="K85" i="37"/>
  <c r="O85" i="37"/>
  <c r="P85" i="37"/>
  <c r="H89" i="37"/>
  <c r="I89" i="37"/>
  <c r="J89" i="37"/>
  <c r="K89" i="37"/>
  <c r="O89" i="37"/>
  <c r="P89" i="37"/>
  <c r="H93" i="37"/>
  <c r="I93" i="37"/>
  <c r="J93" i="37"/>
  <c r="K93" i="37"/>
  <c r="O93" i="37"/>
  <c r="P93" i="37"/>
  <c r="H100" i="37"/>
  <c r="I100" i="37"/>
  <c r="J100" i="37"/>
  <c r="K100" i="37"/>
  <c r="O100" i="37"/>
  <c r="P100" i="37"/>
  <c r="H101" i="37"/>
  <c r="I101" i="37"/>
  <c r="J101" i="37"/>
  <c r="K101" i="37"/>
  <c r="O101" i="37"/>
  <c r="P101" i="37"/>
  <c r="H102" i="37"/>
  <c r="I102" i="37"/>
  <c r="J102" i="37"/>
  <c r="K102" i="37"/>
  <c r="O102" i="37"/>
  <c r="P102" i="37"/>
  <c r="H104" i="37"/>
  <c r="I104" i="37"/>
  <c r="J104" i="37"/>
  <c r="K104" i="37"/>
  <c r="O104" i="37"/>
  <c r="P104" i="37"/>
  <c r="H106" i="37"/>
  <c r="I106" i="37"/>
  <c r="J106" i="37"/>
  <c r="K106" i="37"/>
  <c r="O106" i="37"/>
  <c r="P106" i="37"/>
  <c r="H107" i="37"/>
  <c r="I107" i="37"/>
  <c r="J107" i="37"/>
  <c r="K107" i="37"/>
  <c r="O107" i="37"/>
  <c r="P107" i="37"/>
  <c r="H113" i="37"/>
  <c r="I113" i="37"/>
  <c r="J113" i="37"/>
  <c r="K113" i="37"/>
  <c r="O113" i="37"/>
  <c r="P113" i="37"/>
  <c r="H115" i="37"/>
  <c r="I115" i="37"/>
  <c r="J115" i="37"/>
  <c r="K115" i="37"/>
  <c r="O115" i="37"/>
  <c r="P115" i="37"/>
  <c r="H117" i="37"/>
  <c r="I117" i="37"/>
  <c r="J117" i="37"/>
  <c r="K117" i="37"/>
  <c r="O117" i="37"/>
  <c r="P117" i="37"/>
  <c r="H118" i="37"/>
  <c r="I118" i="37"/>
  <c r="J118" i="37"/>
  <c r="K118" i="37"/>
  <c r="O118" i="37"/>
  <c r="P118" i="37"/>
  <c r="H121" i="37"/>
  <c r="I121" i="37"/>
  <c r="J121" i="37"/>
  <c r="O121" i="37"/>
  <c r="P121" i="37"/>
  <c r="H124" i="37"/>
  <c r="I124" i="37"/>
  <c r="J124" i="37"/>
  <c r="K124" i="37"/>
  <c r="O124" i="37"/>
  <c r="P124" i="37"/>
  <c r="H125" i="37"/>
  <c r="I125" i="37"/>
  <c r="J125" i="37"/>
  <c r="K125" i="37"/>
  <c r="O125" i="37"/>
  <c r="P125" i="37"/>
  <c r="H129" i="37"/>
  <c r="I129" i="37"/>
  <c r="J129" i="37"/>
  <c r="K129" i="37"/>
  <c r="O129" i="37"/>
  <c r="P129" i="37"/>
  <c r="H130" i="37"/>
  <c r="I130" i="37"/>
  <c r="J130" i="37"/>
  <c r="K130" i="37"/>
  <c r="O130" i="37"/>
  <c r="P130" i="37"/>
  <c r="H131" i="37"/>
  <c r="I131" i="37"/>
  <c r="J131" i="37"/>
  <c r="K131" i="37"/>
  <c r="O131" i="37"/>
  <c r="P131" i="37"/>
  <c r="H137" i="37"/>
  <c r="I137" i="37"/>
  <c r="J137" i="37"/>
  <c r="K137" i="37"/>
  <c r="O137" i="37"/>
  <c r="P137" i="37"/>
  <c r="H144" i="37"/>
  <c r="I144" i="37"/>
  <c r="J144" i="37"/>
  <c r="K144" i="37"/>
  <c r="O144" i="37"/>
  <c r="P144" i="37"/>
  <c r="H14" i="37"/>
  <c r="I14" i="37"/>
  <c r="J14" i="37"/>
  <c r="K14" i="37"/>
  <c r="O14" i="37"/>
  <c r="P14" i="37"/>
  <c r="G30" i="38"/>
  <c r="G31" i="38"/>
  <c r="G32" i="38"/>
  <c r="G33" i="38"/>
  <c r="G34" i="38"/>
  <c r="G29" i="38"/>
  <c r="G28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9" i="38"/>
  <c r="G10" i="38"/>
  <c r="G11" i="38"/>
  <c r="G12" i="38"/>
  <c r="H13" i="38"/>
  <c r="G13" i="38"/>
  <c r="G7" i="38"/>
  <c r="G8" i="38"/>
  <c r="G6" i="38"/>
  <c r="J13" i="38"/>
  <c r="I13" i="38"/>
  <c r="I14" i="38"/>
  <c r="I34" i="38"/>
  <c r="I32" i="38"/>
  <c r="I31" i="38"/>
  <c r="I30" i="38"/>
  <c r="I29" i="38"/>
  <c r="I28" i="38"/>
  <c r="I27" i="38"/>
  <c r="I26" i="38"/>
  <c r="I25" i="38"/>
  <c r="I24" i="38"/>
  <c r="P24" i="38"/>
  <c r="I23" i="38"/>
  <c r="P23" i="38"/>
  <c r="I22" i="38"/>
  <c r="P22" i="38"/>
  <c r="I21" i="38"/>
  <c r="I20" i="38"/>
  <c r="I19" i="38"/>
  <c r="I18" i="38"/>
  <c r="P16" i="38"/>
  <c r="J16" i="38"/>
  <c r="I16" i="38"/>
  <c r="P15" i="38"/>
  <c r="I15" i="38"/>
  <c r="P14" i="38"/>
  <c r="P13" i="38"/>
  <c r="I12" i="38"/>
  <c r="I11" i="38"/>
  <c r="P10" i="38"/>
  <c r="I10" i="38"/>
  <c r="I9" i="38"/>
  <c r="T8" i="38"/>
  <c r="S8" i="38"/>
  <c r="I8" i="38"/>
  <c r="F8" i="38"/>
  <c r="E8" i="38"/>
  <c r="I7" i="38"/>
  <c r="I6" i="38"/>
  <c r="O153" i="46"/>
  <c r="O153" i="45"/>
  <c r="O168" i="44"/>
  <c r="O153" i="44"/>
  <c r="K30" i="46"/>
  <c r="N30" i="46"/>
  <c r="J30" i="46"/>
  <c r="H30" i="46"/>
  <c r="L30" i="46"/>
  <c r="M30" i="46"/>
  <c r="M31" i="46"/>
  <c r="M29" i="46"/>
  <c r="I30" i="46"/>
  <c r="L30" i="45"/>
  <c r="H30" i="45"/>
  <c r="K30" i="45"/>
  <c r="J30" i="45"/>
  <c r="N30" i="45"/>
  <c r="I30" i="45"/>
  <c r="M30" i="45"/>
  <c r="L30" i="44"/>
  <c r="H30" i="44"/>
  <c r="M30" i="44"/>
  <c r="I30" i="44"/>
  <c r="J30" i="44"/>
  <c r="K30" i="44"/>
  <c r="N30" i="44"/>
  <c r="L30" i="43"/>
  <c r="H30" i="43"/>
  <c r="J30" i="43"/>
  <c r="K30" i="43"/>
  <c r="M30" i="43"/>
  <c r="I30" i="43"/>
  <c r="N30" i="43"/>
  <c r="L23" i="46"/>
  <c r="H23" i="46"/>
  <c r="K23" i="46"/>
  <c r="M23" i="46"/>
  <c r="I23" i="46"/>
  <c r="J23" i="46"/>
  <c r="N23" i="46"/>
  <c r="M23" i="45"/>
  <c r="I23" i="45"/>
  <c r="L23" i="45"/>
  <c r="H23" i="45"/>
  <c r="K23" i="45"/>
  <c r="N23" i="45"/>
  <c r="J23" i="45"/>
  <c r="M23" i="44"/>
  <c r="I23" i="44"/>
  <c r="N23" i="44"/>
  <c r="J23" i="44"/>
  <c r="L23" i="44"/>
  <c r="H23" i="44"/>
  <c r="K23" i="44"/>
  <c r="M23" i="43"/>
  <c r="I23" i="43"/>
  <c r="H23" i="43"/>
  <c r="N23" i="43"/>
  <c r="J23" i="43"/>
  <c r="K23" i="43"/>
  <c r="L23" i="43"/>
  <c r="O168" i="45"/>
  <c r="N10" i="46"/>
  <c r="J10" i="46"/>
  <c r="M10" i="46"/>
  <c r="I10" i="46"/>
  <c r="K10" i="46"/>
  <c r="L10" i="46"/>
  <c r="H10" i="46"/>
  <c r="K10" i="45"/>
  <c r="N10" i="45"/>
  <c r="J10" i="45"/>
  <c r="M10" i="45"/>
  <c r="I10" i="45"/>
  <c r="H10" i="45"/>
  <c r="L10" i="45"/>
  <c r="K10" i="44"/>
  <c r="N10" i="44"/>
  <c r="I10" i="44"/>
  <c r="M10" i="44"/>
  <c r="J10" i="44"/>
  <c r="L10" i="44"/>
  <c r="H10" i="44"/>
  <c r="K10" i="43"/>
  <c r="M10" i="43"/>
  <c r="N10" i="43"/>
  <c r="L10" i="43"/>
  <c r="H10" i="43"/>
  <c r="I10" i="43"/>
  <c r="J10" i="43"/>
  <c r="L133" i="46"/>
  <c r="H133" i="46"/>
  <c r="I133" i="46"/>
  <c r="K133" i="46"/>
  <c r="M133" i="46"/>
  <c r="N133" i="46"/>
  <c r="J133" i="46"/>
  <c r="M133" i="45"/>
  <c r="I133" i="45"/>
  <c r="L133" i="45"/>
  <c r="H133" i="45"/>
  <c r="N133" i="45"/>
  <c r="J133" i="45"/>
  <c r="K133" i="45"/>
  <c r="M133" i="44"/>
  <c r="I133" i="44"/>
  <c r="N133" i="44"/>
  <c r="J133" i="44"/>
  <c r="K133" i="44"/>
  <c r="H133" i="44"/>
  <c r="L133" i="44"/>
  <c r="M133" i="43"/>
  <c r="I133" i="43"/>
  <c r="L133" i="43"/>
  <c r="N133" i="43"/>
  <c r="J133" i="43"/>
  <c r="K133" i="43"/>
  <c r="H133" i="43"/>
  <c r="K129" i="46"/>
  <c r="N129" i="46"/>
  <c r="J129" i="46"/>
  <c r="L129" i="46"/>
  <c r="H129" i="46"/>
  <c r="I129" i="46"/>
  <c r="O129" i="46"/>
  <c r="M129" i="46"/>
  <c r="L129" i="45"/>
  <c r="H129" i="45"/>
  <c r="M129" i="45"/>
  <c r="K129" i="45"/>
  <c r="I129" i="45"/>
  <c r="J129" i="45"/>
  <c r="N129" i="45"/>
  <c r="L129" i="44"/>
  <c r="H129" i="44"/>
  <c r="M129" i="44"/>
  <c r="I129" i="44"/>
  <c r="J129" i="44"/>
  <c r="N129" i="44"/>
  <c r="K129" i="44"/>
  <c r="L129" i="43"/>
  <c r="H129" i="43"/>
  <c r="N129" i="43"/>
  <c r="K129" i="43"/>
  <c r="M129" i="43"/>
  <c r="I129" i="43"/>
  <c r="J129" i="43"/>
  <c r="N121" i="46"/>
  <c r="M121" i="46"/>
  <c r="K121" i="46"/>
  <c r="L121" i="46"/>
  <c r="K121" i="45"/>
  <c r="N121" i="45"/>
  <c r="L121" i="45"/>
  <c r="M121" i="45"/>
  <c r="K121" i="44"/>
  <c r="L121" i="44"/>
  <c r="M121" i="44"/>
  <c r="N121" i="44"/>
  <c r="K121" i="43"/>
  <c r="N121" i="43"/>
  <c r="L121" i="43"/>
  <c r="M121" i="43"/>
  <c r="M120" i="46"/>
  <c r="N120" i="46"/>
  <c r="L120" i="46"/>
  <c r="J119" i="46"/>
  <c r="K120" i="46"/>
  <c r="N120" i="45"/>
  <c r="J119" i="45"/>
  <c r="M120" i="45"/>
  <c r="K120" i="45"/>
  <c r="K119" i="45"/>
  <c r="L120" i="45"/>
  <c r="N120" i="44"/>
  <c r="N119" i="44"/>
  <c r="J119" i="44"/>
  <c r="K120" i="44"/>
  <c r="L120" i="44"/>
  <c r="M120" i="44"/>
  <c r="N120" i="43"/>
  <c r="M120" i="43"/>
  <c r="M119" i="43"/>
  <c r="K120" i="43"/>
  <c r="K119" i="43"/>
  <c r="L120" i="43"/>
  <c r="I119" i="43"/>
  <c r="L117" i="46"/>
  <c r="L116" i="46"/>
  <c r="H117" i="46"/>
  <c r="H116" i="46"/>
  <c r="M117" i="46"/>
  <c r="M116" i="46"/>
  <c r="K117" i="46"/>
  <c r="K116" i="46"/>
  <c r="I117" i="46"/>
  <c r="J117" i="46"/>
  <c r="J116" i="46"/>
  <c r="N117" i="46"/>
  <c r="N116" i="46"/>
  <c r="M117" i="45"/>
  <c r="M116" i="45"/>
  <c r="I117" i="45"/>
  <c r="I116" i="45"/>
  <c r="N117" i="45"/>
  <c r="N116" i="45"/>
  <c r="L117" i="45"/>
  <c r="L116" i="45"/>
  <c r="H117" i="45"/>
  <c r="J117" i="45"/>
  <c r="J116" i="45"/>
  <c r="K117" i="45"/>
  <c r="K116" i="45"/>
  <c r="M117" i="44"/>
  <c r="M116" i="44"/>
  <c r="I117" i="44"/>
  <c r="I116" i="44"/>
  <c r="N117" i="44"/>
  <c r="N116" i="44"/>
  <c r="J117" i="44"/>
  <c r="K117" i="44"/>
  <c r="K116" i="44"/>
  <c r="L117" i="44"/>
  <c r="L116" i="44"/>
  <c r="H117" i="44"/>
  <c r="H116" i="44"/>
  <c r="M117" i="43"/>
  <c r="M116" i="43"/>
  <c r="I117" i="43"/>
  <c r="I116" i="43"/>
  <c r="L117" i="43"/>
  <c r="L116" i="43"/>
  <c r="N117" i="43"/>
  <c r="N116" i="43"/>
  <c r="J117" i="43"/>
  <c r="J116" i="43"/>
  <c r="K117" i="43"/>
  <c r="K116" i="43"/>
  <c r="H117" i="43"/>
  <c r="N113" i="46"/>
  <c r="J113" i="46"/>
  <c r="K113" i="46"/>
  <c r="M113" i="46"/>
  <c r="I113" i="46"/>
  <c r="O113" i="46"/>
  <c r="H113" i="46"/>
  <c r="L113" i="46"/>
  <c r="K113" i="45"/>
  <c r="H113" i="45"/>
  <c r="N113" i="45"/>
  <c r="J113" i="45"/>
  <c r="L113" i="45"/>
  <c r="I113" i="45"/>
  <c r="O113" i="45"/>
  <c r="M113" i="45"/>
  <c r="K113" i="44"/>
  <c r="L113" i="44"/>
  <c r="H113" i="44"/>
  <c r="I113" i="44"/>
  <c r="M113" i="44"/>
  <c r="N113" i="44"/>
  <c r="J113" i="44"/>
  <c r="K113" i="43"/>
  <c r="I113" i="43"/>
  <c r="J113" i="43"/>
  <c r="L113" i="43"/>
  <c r="H113" i="43"/>
  <c r="M113" i="43"/>
  <c r="N113" i="43"/>
  <c r="L104" i="46"/>
  <c r="L103" i="46"/>
  <c r="H103" i="46"/>
  <c r="M104" i="46"/>
  <c r="M103" i="46"/>
  <c r="K104" i="46"/>
  <c r="K103" i="46"/>
  <c r="I103" i="46"/>
  <c r="N104" i="46"/>
  <c r="N103" i="46"/>
  <c r="M104" i="45"/>
  <c r="M103" i="45"/>
  <c r="I103" i="45"/>
  <c r="N104" i="45"/>
  <c r="N103" i="45"/>
  <c r="L104" i="45"/>
  <c r="L103" i="45"/>
  <c r="J103" i="45"/>
  <c r="K104" i="45"/>
  <c r="K103" i="45"/>
  <c r="M104" i="44"/>
  <c r="M103" i="44"/>
  <c r="I103" i="44"/>
  <c r="N104" i="44"/>
  <c r="N103" i="44"/>
  <c r="J103" i="44"/>
  <c r="K104" i="44"/>
  <c r="K103" i="44"/>
  <c r="L104" i="44"/>
  <c r="L103" i="44"/>
  <c r="M104" i="43"/>
  <c r="M103" i="43"/>
  <c r="I103" i="43"/>
  <c r="K104" i="43"/>
  <c r="K103" i="43"/>
  <c r="L104" i="43"/>
  <c r="L103" i="43"/>
  <c r="N104" i="43"/>
  <c r="N103" i="43"/>
  <c r="J103" i="43"/>
  <c r="N99" i="46"/>
  <c r="J99" i="46"/>
  <c r="K99" i="46"/>
  <c r="M99" i="46"/>
  <c r="I99" i="46"/>
  <c r="H99" i="46"/>
  <c r="L99" i="46"/>
  <c r="K99" i="45"/>
  <c r="L99" i="45"/>
  <c r="N99" i="45"/>
  <c r="J99" i="45"/>
  <c r="H99" i="45"/>
  <c r="I99" i="45"/>
  <c r="M99" i="45"/>
  <c r="K99" i="44"/>
  <c r="L99" i="44"/>
  <c r="H99" i="44"/>
  <c r="I99" i="44"/>
  <c r="J99" i="44"/>
  <c r="M99" i="44"/>
  <c r="N99" i="44"/>
  <c r="K99" i="43"/>
  <c r="I99" i="43"/>
  <c r="J99" i="43"/>
  <c r="L99" i="43"/>
  <c r="H99" i="43"/>
  <c r="M99" i="43"/>
  <c r="N99" i="43"/>
  <c r="L97" i="46"/>
  <c r="H97" i="46"/>
  <c r="M97" i="46"/>
  <c r="K97" i="46"/>
  <c r="I97" i="46"/>
  <c r="N97" i="46"/>
  <c r="J97" i="46"/>
  <c r="M97" i="45"/>
  <c r="I97" i="45"/>
  <c r="L97" i="45"/>
  <c r="H97" i="45"/>
  <c r="N97" i="45"/>
  <c r="J97" i="45"/>
  <c r="K97" i="45"/>
  <c r="M97" i="44"/>
  <c r="I97" i="44"/>
  <c r="N97" i="44"/>
  <c r="J97" i="44"/>
  <c r="H97" i="44"/>
  <c r="K97" i="44"/>
  <c r="L97" i="44"/>
  <c r="M97" i="43"/>
  <c r="I97" i="43"/>
  <c r="H97" i="43"/>
  <c r="N97" i="43"/>
  <c r="J97" i="43"/>
  <c r="K97" i="43"/>
  <c r="L97" i="43"/>
  <c r="K91" i="46"/>
  <c r="H91" i="46"/>
  <c r="N91" i="46"/>
  <c r="J91" i="46"/>
  <c r="L91" i="46"/>
  <c r="M91" i="46"/>
  <c r="I91" i="46"/>
  <c r="L91" i="45"/>
  <c r="H91" i="45"/>
  <c r="I91" i="45"/>
  <c r="K91" i="45"/>
  <c r="M91" i="45"/>
  <c r="J91" i="45"/>
  <c r="J92" i="45"/>
  <c r="J90" i="45"/>
  <c r="N91" i="45"/>
  <c r="L91" i="44"/>
  <c r="H91" i="44"/>
  <c r="M91" i="44"/>
  <c r="I91" i="44"/>
  <c r="J91" i="44"/>
  <c r="K91" i="44"/>
  <c r="N91" i="44"/>
  <c r="L91" i="43"/>
  <c r="H91" i="43"/>
  <c r="J91" i="43"/>
  <c r="K91" i="43"/>
  <c r="M91" i="43"/>
  <c r="I91" i="43"/>
  <c r="N91" i="43"/>
  <c r="M88" i="46"/>
  <c r="I88" i="46"/>
  <c r="N88" i="46"/>
  <c r="L88" i="46"/>
  <c r="H88" i="46"/>
  <c r="J88" i="46"/>
  <c r="O88" i="46"/>
  <c r="K88" i="46"/>
  <c r="N88" i="45"/>
  <c r="J88" i="45"/>
  <c r="K88" i="45"/>
  <c r="M88" i="45"/>
  <c r="I88" i="45"/>
  <c r="H88" i="45"/>
  <c r="L88" i="45"/>
  <c r="N88" i="44"/>
  <c r="J88" i="44"/>
  <c r="K88" i="44"/>
  <c r="H88" i="44"/>
  <c r="I88" i="44"/>
  <c r="L88" i="44"/>
  <c r="M88" i="44"/>
  <c r="N88" i="43"/>
  <c r="J88" i="43"/>
  <c r="H88" i="43"/>
  <c r="I88" i="43"/>
  <c r="K88" i="43"/>
  <c r="L88" i="43"/>
  <c r="M88" i="43"/>
  <c r="M78" i="46"/>
  <c r="I78" i="46"/>
  <c r="L78" i="46"/>
  <c r="H78" i="46"/>
  <c r="J78" i="46"/>
  <c r="K78" i="46"/>
  <c r="N78" i="45"/>
  <c r="J78" i="45"/>
  <c r="M78" i="45"/>
  <c r="I78" i="45"/>
  <c r="K78" i="45"/>
  <c r="L78" i="45"/>
  <c r="H78" i="45"/>
  <c r="J78" i="44"/>
  <c r="K78" i="44"/>
  <c r="M78" i="44"/>
  <c r="I78" i="44"/>
  <c r="L78" i="44"/>
  <c r="H78" i="44"/>
  <c r="J78" i="43"/>
  <c r="H78" i="43"/>
  <c r="I78" i="43"/>
  <c r="K78" i="43"/>
  <c r="L78" i="43"/>
  <c r="M78" i="43"/>
  <c r="K75" i="46"/>
  <c r="H75" i="46"/>
  <c r="N75" i="46"/>
  <c r="J75" i="46"/>
  <c r="L75" i="46"/>
  <c r="M75" i="46"/>
  <c r="I75" i="46"/>
  <c r="L75" i="45"/>
  <c r="H75" i="45"/>
  <c r="M75" i="45"/>
  <c r="K75" i="45"/>
  <c r="I75" i="45"/>
  <c r="J75" i="45"/>
  <c r="O75" i="45"/>
  <c r="N75" i="45"/>
  <c r="L75" i="44"/>
  <c r="H75" i="44"/>
  <c r="M75" i="44"/>
  <c r="I75" i="44"/>
  <c r="K75" i="44"/>
  <c r="J75" i="44"/>
  <c r="N75" i="44"/>
  <c r="L75" i="43"/>
  <c r="H75" i="43"/>
  <c r="N75" i="43"/>
  <c r="K75" i="43"/>
  <c r="M75" i="43"/>
  <c r="I75" i="43"/>
  <c r="J75" i="43"/>
  <c r="M73" i="46"/>
  <c r="I73" i="46"/>
  <c r="N73" i="46"/>
  <c r="L73" i="46"/>
  <c r="H73" i="46"/>
  <c r="J73" i="46"/>
  <c r="O73" i="46"/>
  <c r="K73" i="46"/>
  <c r="N73" i="45"/>
  <c r="J73" i="45"/>
  <c r="M73" i="45"/>
  <c r="I73" i="45"/>
  <c r="K73" i="45"/>
  <c r="H73" i="45"/>
  <c r="L73" i="45"/>
  <c r="N73" i="44"/>
  <c r="J73" i="44"/>
  <c r="K73" i="44"/>
  <c r="I73" i="44"/>
  <c r="H73" i="44"/>
  <c r="L73" i="44"/>
  <c r="M73" i="44"/>
  <c r="K73" i="43"/>
  <c r="M73" i="43"/>
  <c r="N73" i="43"/>
  <c r="L73" i="43"/>
  <c r="H73" i="43"/>
  <c r="I73" i="43"/>
  <c r="J73" i="43"/>
  <c r="K69" i="46"/>
  <c r="L69" i="46"/>
  <c r="N69" i="46"/>
  <c r="J69" i="46"/>
  <c r="H69" i="46"/>
  <c r="I69" i="46"/>
  <c r="M69" i="46"/>
  <c r="L69" i="45"/>
  <c r="H69" i="45"/>
  <c r="M69" i="45"/>
  <c r="K69" i="45"/>
  <c r="I69" i="45"/>
  <c r="J69" i="45"/>
  <c r="O69" i="45"/>
  <c r="N69" i="45"/>
  <c r="L69" i="44"/>
  <c r="H69" i="44"/>
  <c r="M69" i="44"/>
  <c r="I69" i="44"/>
  <c r="J69" i="44"/>
  <c r="K69" i="44"/>
  <c r="N69" i="44"/>
  <c r="M69" i="43"/>
  <c r="I69" i="43"/>
  <c r="K69" i="43"/>
  <c r="L69" i="43"/>
  <c r="N69" i="43"/>
  <c r="J69" i="43"/>
  <c r="H69" i="43"/>
  <c r="M67" i="46"/>
  <c r="I67" i="46"/>
  <c r="J67" i="46"/>
  <c r="L67" i="46"/>
  <c r="H67" i="46"/>
  <c r="N67" i="46"/>
  <c r="K67" i="46"/>
  <c r="N67" i="45"/>
  <c r="J67" i="45"/>
  <c r="M67" i="45"/>
  <c r="I67" i="45"/>
  <c r="K67" i="45"/>
  <c r="H67" i="45"/>
  <c r="L67" i="45"/>
  <c r="N67" i="44"/>
  <c r="J67" i="44"/>
  <c r="K67" i="44"/>
  <c r="M67" i="44"/>
  <c r="H67" i="44"/>
  <c r="I67" i="44"/>
  <c r="O67" i="44"/>
  <c r="L67" i="44"/>
  <c r="K67" i="43"/>
  <c r="I67" i="43"/>
  <c r="J67" i="43"/>
  <c r="L67" i="43"/>
  <c r="H67" i="43"/>
  <c r="M67" i="43"/>
  <c r="N67" i="43"/>
  <c r="K65" i="46"/>
  <c r="H65" i="46"/>
  <c r="N65" i="46"/>
  <c r="J65" i="46"/>
  <c r="L65" i="46"/>
  <c r="M65" i="46"/>
  <c r="I65" i="46"/>
  <c r="L65" i="45"/>
  <c r="H65" i="45"/>
  <c r="M65" i="45"/>
  <c r="K65" i="45"/>
  <c r="I65" i="45"/>
  <c r="J65" i="45"/>
  <c r="N65" i="45"/>
  <c r="L65" i="44"/>
  <c r="H65" i="44"/>
  <c r="M65" i="44"/>
  <c r="I65" i="44"/>
  <c r="K65" i="44"/>
  <c r="N65" i="44"/>
  <c r="J65" i="44"/>
  <c r="M65" i="43"/>
  <c r="I65" i="43"/>
  <c r="H65" i="43"/>
  <c r="N65" i="43"/>
  <c r="J65" i="43"/>
  <c r="K65" i="43"/>
  <c r="L65" i="43"/>
  <c r="L61" i="46"/>
  <c r="H61" i="46"/>
  <c r="M61" i="46"/>
  <c r="K61" i="46"/>
  <c r="I61" i="46"/>
  <c r="J61" i="46"/>
  <c r="O61" i="46"/>
  <c r="N61" i="46"/>
  <c r="M61" i="45"/>
  <c r="I61" i="45"/>
  <c r="N61" i="45"/>
  <c r="L61" i="45"/>
  <c r="H61" i="45"/>
  <c r="J61" i="45"/>
  <c r="K61" i="45"/>
  <c r="M61" i="44"/>
  <c r="I61" i="44"/>
  <c r="N61" i="44"/>
  <c r="J61" i="44"/>
  <c r="H61" i="44"/>
  <c r="K61" i="44"/>
  <c r="L61" i="44"/>
  <c r="M61" i="43"/>
  <c r="I61" i="43"/>
  <c r="K61" i="43"/>
  <c r="N61" i="43"/>
  <c r="J61" i="43"/>
  <c r="L61" i="43"/>
  <c r="H61" i="43"/>
  <c r="N59" i="46"/>
  <c r="J59" i="46"/>
  <c r="K59" i="46"/>
  <c r="M59" i="46"/>
  <c r="I59" i="46"/>
  <c r="H59" i="46"/>
  <c r="L59" i="46"/>
  <c r="K59" i="45"/>
  <c r="L59" i="45"/>
  <c r="N59" i="45"/>
  <c r="J59" i="45"/>
  <c r="H59" i="45"/>
  <c r="M59" i="45"/>
  <c r="I59" i="45"/>
  <c r="K59" i="44"/>
  <c r="L59" i="44"/>
  <c r="H59" i="44"/>
  <c r="N59" i="44"/>
  <c r="I59" i="44"/>
  <c r="J59" i="44"/>
  <c r="M59" i="44"/>
  <c r="K59" i="43"/>
  <c r="I59" i="43"/>
  <c r="J59" i="43"/>
  <c r="L59" i="43"/>
  <c r="H59" i="43"/>
  <c r="M59" i="43"/>
  <c r="N59" i="43"/>
  <c r="L48" i="46"/>
  <c r="H48" i="46"/>
  <c r="K48" i="46"/>
  <c r="M48" i="46"/>
  <c r="J48" i="46"/>
  <c r="N48" i="46"/>
  <c r="I48" i="46"/>
  <c r="M48" i="45"/>
  <c r="I48" i="45"/>
  <c r="L48" i="45"/>
  <c r="H48" i="45"/>
  <c r="N48" i="45"/>
  <c r="J48" i="45"/>
  <c r="K48" i="45"/>
  <c r="M48" i="44"/>
  <c r="I48" i="44"/>
  <c r="N48" i="44"/>
  <c r="J48" i="44"/>
  <c r="L48" i="44"/>
  <c r="H48" i="44"/>
  <c r="K48" i="44"/>
  <c r="M48" i="43"/>
  <c r="I48" i="43"/>
  <c r="H48" i="43"/>
  <c r="N48" i="43"/>
  <c r="J48" i="43"/>
  <c r="K48" i="43"/>
  <c r="L48" i="43"/>
  <c r="K46" i="46"/>
  <c r="K45" i="46"/>
  <c r="N46" i="46"/>
  <c r="N45" i="46"/>
  <c r="J46" i="46"/>
  <c r="J45" i="46"/>
  <c r="L46" i="46"/>
  <c r="L45" i="46"/>
  <c r="H46" i="46"/>
  <c r="I46" i="46"/>
  <c r="I45" i="46"/>
  <c r="M46" i="46"/>
  <c r="M45" i="46"/>
  <c r="L46" i="45"/>
  <c r="L45" i="45"/>
  <c r="H46" i="45"/>
  <c r="M46" i="45"/>
  <c r="M45" i="45"/>
  <c r="K46" i="45"/>
  <c r="K45" i="45"/>
  <c r="I46" i="45"/>
  <c r="I45" i="45"/>
  <c r="N46" i="45"/>
  <c r="N45" i="45"/>
  <c r="J46" i="45"/>
  <c r="J45" i="45"/>
  <c r="L46" i="44"/>
  <c r="L45" i="44"/>
  <c r="H46" i="44"/>
  <c r="M46" i="44"/>
  <c r="M45" i="44"/>
  <c r="I46" i="44"/>
  <c r="I45" i="44"/>
  <c r="K46" i="44"/>
  <c r="K45" i="44"/>
  <c r="N46" i="44"/>
  <c r="N45" i="44"/>
  <c r="J46" i="44"/>
  <c r="J45" i="44"/>
  <c r="L46" i="43"/>
  <c r="L45" i="43"/>
  <c r="H46" i="43"/>
  <c r="N46" i="43"/>
  <c r="N45" i="43"/>
  <c r="M46" i="43"/>
  <c r="M45" i="43"/>
  <c r="I46" i="43"/>
  <c r="I45" i="43"/>
  <c r="J46" i="43"/>
  <c r="J45" i="43"/>
  <c r="K46" i="43"/>
  <c r="K45" i="43"/>
  <c r="N44" i="46"/>
  <c r="J44" i="46"/>
  <c r="M44" i="46"/>
  <c r="I44" i="46"/>
  <c r="K44" i="46"/>
  <c r="L44" i="46"/>
  <c r="H44" i="46"/>
  <c r="K44" i="45"/>
  <c r="L44" i="45"/>
  <c r="N44" i="45"/>
  <c r="J44" i="45"/>
  <c r="H44" i="45"/>
  <c r="I44" i="45"/>
  <c r="M44" i="45"/>
  <c r="K44" i="44"/>
  <c r="L44" i="44"/>
  <c r="H44" i="44"/>
  <c r="J44" i="44"/>
  <c r="I44" i="44"/>
  <c r="M44" i="44"/>
  <c r="N44" i="44"/>
  <c r="K44" i="43"/>
  <c r="M44" i="43"/>
  <c r="N44" i="43"/>
  <c r="L44" i="43"/>
  <c r="H44" i="43"/>
  <c r="I44" i="43"/>
  <c r="J44" i="43"/>
  <c r="L42" i="46"/>
  <c r="H42" i="46"/>
  <c r="K42" i="46"/>
  <c r="I42" i="46"/>
  <c r="M42" i="46"/>
  <c r="N42" i="46"/>
  <c r="J42" i="46"/>
  <c r="M42" i="45"/>
  <c r="I42" i="45"/>
  <c r="N42" i="45"/>
  <c r="L42" i="45"/>
  <c r="H42" i="45"/>
  <c r="J42" i="45"/>
  <c r="O42" i="45"/>
  <c r="K42" i="45"/>
  <c r="M42" i="44"/>
  <c r="I42" i="44"/>
  <c r="N42" i="44"/>
  <c r="J42" i="44"/>
  <c r="H42" i="44"/>
  <c r="K42" i="44"/>
  <c r="L42" i="44"/>
  <c r="M42" i="43"/>
  <c r="I42" i="43"/>
  <c r="K42" i="43"/>
  <c r="L42" i="43"/>
  <c r="N42" i="43"/>
  <c r="J42" i="43"/>
  <c r="H42" i="43"/>
  <c r="M39" i="46"/>
  <c r="I39" i="46"/>
  <c r="L39" i="46"/>
  <c r="H39" i="46"/>
  <c r="J39" i="46"/>
  <c r="O39" i="46"/>
  <c r="N39" i="46"/>
  <c r="K39" i="46"/>
  <c r="N39" i="45"/>
  <c r="J39" i="45"/>
  <c r="M39" i="45"/>
  <c r="I39" i="45"/>
  <c r="H39" i="45"/>
  <c r="L39" i="45"/>
  <c r="K39" i="45"/>
  <c r="N39" i="44"/>
  <c r="J39" i="44"/>
  <c r="K39" i="44"/>
  <c r="M39" i="44"/>
  <c r="I39" i="44"/>
  <c r="L39" i="44"/>
  <c r="H39" i="44"/>
  <c r="N39" i="43"/>
  <c r="J39" i="43"/>
  <c r="H39" i="43"/>
  <c r="I39" i="43"/>
  <c r="K39" i="43"/>
  <c r="L39" i="43"/>
  <c r="M39" i="43"/>
  <c r="N34" i="46"/>
  <c r="J34" i="46"/>
  <c r="M34" i="46"/>
  <c r="I34" i="46"/>
  <c r="K34" i="46"/>
  <c r="L34" i="46"/>
  <c r="H34" i="46"/>
  <c r="K34" i="45"/>
  <c r="N34" i="45"/>
  <c r="J34" i="45"/>
  <c r="M34" i="45"/>
  <c r="I34" i="45"/>
  <c r="L34" i="45"/>
  <c r="H34" i="45"/>
  <c r="K34" i="44"/>
  <c r="L34" i="44"/>
  <c r="H34" i="44"/>
  <c r="J34" i="44"/>
  <c r="N34" i="44"/>
  <c r="M34" i="44"/>
  <c r="I34" i="44"/>
  <c r="K34" i="43"/>
  <c r="M34" i="43"/>
  <c r="N34" i="43"/>
  <c r="L34" i="43"/>
  <c r="H34" i="43"/>
  <c r="I34" i="43"/>
  <c r="J34" i="43"/>
  <c r="M13" i="46"/>
  <c r="I13" i="46"/>
  <c r="L13" i="46"/>
  <c r="H13" i="46"/>
  <c r="J13" i="46"/>
  <c r="O13" i="46"/>
  <c r="N13" i="46"/>
  <c r="K13" i="46"/>
  <c r="N13" i="45"/>
  <c r="J13" i="45"/>
  <c r="M13" i="45"/>
  <c r="I13" i="45"/>
  <c r="H13" i="45"/>
  <c r="L13" i="45"/>
  <c r="K13" i="45"/>
  <c r="N13" i="44"/>
  <c r="J13" i="44"/>
  <c r="I13" i="44"/>
  <c r="L13" i="44"/>
  <c r="M13" i="44"/>
  <c r="K13" i="44"/>
  <c r="H13" i="44"/>
  <c r="N13" i="43"/>
  <c r="J13" i="43"/>
  <c r="H13" i="43"/>
  <c r="I13" i="43"/>
  <c r="K13" i="43"/>
  <c r="L13" i="43"/>
  <c r="M13" i="43"/>
  <c r="K11" i="46"/>
  <c r="N11" i="46"/>
  <c r="J11" i="46"/>
  <c r="L11" i="46"/>
  <c r="H11" i="46"/>
  <c r="I11" i="46"/>
  <c r="M11" i="46"/>
  <c r="L11" i="45"/>
  <c r="H11" i="45"/>
  <c r="K11" i="45"/>
  <c r="N11" i="45"/>
  <c r="J11" i="45"/>
  <c r="M11" i="45"/>
  <c r="I11" i="45"/>
  <c r="L11" i="44"/>
  <c r="H11" i="44"/>
  <c r="M11" i="44"/>
  <c r="J11" i="44"/>
  <c r="N11" i="44"/>
  <c r="I11" i="44"/>
  <c r="K11" i="44"/>
  <c r="L11" i="43"/>
  <c r="H11" i="43"/>
  <c r="N11" i="43"/>
  <c r="M11" i="43"/>
  <c r="I11" i="43"/>
  <c r="J11" i="43"/>
  <c r="K11" i="43"/>
  <c r="K144" i="46"/>
  <c r="H144" i="46"/>
  <c r="N144" i="46"/>
  <c r="J144" i="46"/>
  <c r="L144" i="46"/>
  <c r="M144" i="46"/>
  <c r="I144" i="46"/>
  <c r="L144" i="45"/>
  <c r="H144" i="45"/>
  <c r="M144" i="45"/>
  <c r="K144" i="45"/>
  <c r="I144" i="45"/>
  <c r="J144" i="45"/>
  <c r="O144" i="45"/>
  <c r="N144" i="45"/>
  <c r="L144" i="44"/>
  <c r="H144" i="44"/>
  <c r="M144" i="44"/>
  <c r="I144" i="44"/>
  <c r="N144" i="44"/>
  <c r="J144" i="44"/>
  <c r="K144" i="44"/>
  <c r="L144" i="43"/>
  <c r="H144" i="43"/>
  <c r="J144" i="43"/>
  <c r="M144" i="43"/>
  <c r="I144" i="43"/>
  <c r="N144" i="43"/>
  <c r="K144" i="43"/>
  <c r="M142" i="46"/>
  <c r="I142" i="46"/>
  <c r="N142" i="46"/>
  <c r="L142" i="46"/>
  <c r="H142" i="46"/>
  <c r="J142" i="46"/>
  <c r="O142" i="46"/>
  <c r="K142" i="46"/>
  <c r="N142" i="45"/>
  <c r="J142" i="45"/>
  <c r="M142" i="45"/>
  <c r="I142" i="45"/>
  <c r="K142" i="45"/>
  <c r="H142" i="45"/>
  <c r="L142" i="45"/>
  <c r="N142" i="44"/>
  <c r="J142" i="44"/>
  <c r="K142" i="44"/>
  <c r="L142" i="44"/>
  <c r="M142" i="44"/>
  <c r="H142" i="44"/>
  <c r="I142" i="44"/>
  <c r="N142" i="43"/>
  <c r="J142" i="43"/>
  <c r="H142" i="43"/>
  <c r="I142" i="43"/>
  <c r="K142" i="43"/>
  <c r="L142" i="43"/>
  <c r="M142" i="43"/>
  <c r="K140" i="46"/>
  <c r="L140" i="46"/>
  <c r="N140" i="46"/>
  <c r="J140" i="46"/>
  <c r="H140" i="46"/>
  <c r="M140" i="46"/>
  <c r="I140" i="46"/>
  <c r="L140" i="45"/>
  <c r="H140" i="45"/>
  <c r="M140" i="45"/>
  <c r="K140" i="45"/>
  <c r="I140" i="45"/>
  <c r="J140" i="45"/>
  <c r="O140" i="45"/>
  <c r="N140" i="45"/>
  <c r="L140" i="44"/>
  <c r="H140" i="44"/>
  <c r="M140" i="44"/>
  <c r="I140" i="44"/>
  <c r="J140" i="44"/>
  <c r="K140" i="44"/>
  <c r="N140" i="44"/>
  <c r="L140" i="43"/>
  <c r="H140" i="43"/>
  <c r="N140" i="43"/>
  <c r="M140" i="43"/>
  <c r="I140" i="43"/>
  <c r="J140" i="43"/>
  <c r="K140" i="43"/>
  <c r="L136" i="46"/>
  <c r="H136" i="46"/>
  <c r="I136" i="46"/>
  <c r="K136" i="46"/>
  <c r="M136" i="46"/>
  <c r="J136" i="46"/>
  <c r="N136" i="46"/>
  <c r="M136" i="45"/>
  <c r="I136" i="45"/>
  <c r="N136" i="45"/>
  <c r="L136" i="45"/>
  <c r="H136" i="45"/>
  <c r="J136" i="45"/>
  <c r="O136" i="45"/>
  <c r="K136" i="45"/>
  <c r="M136" i="44"/>
  <c r="I136" i="44"/>
  <c r="N136" i="44"/>
  <c r="J136" i="44"/>
  <c r="H136" i="44"/>
  <c r="K136" i="44"/>
  <c r="L136" i="44"/>
  <c r="M136" i="43"/>
  <c r="I136" i="43"/>
  <c r="K136" i="43"/>
  <c r="H136" i="43"/>
  <c r="N136" i="43"/>
  <c r="J136" i="43"/>
  <c r="L136" i="43"/>
  <c r="M127" i="46"/>
  <c r="I127" i="46"/>
  <c r="J127" i="46"/>
  <c r="L127" i="46"/>
  <c r="H127" i="46"/>
  <c r="N127" i="46"/>
  <c r="K127" i="46"/>
  <c r="N127" i="45"/>
  <c r="J127" i="45"/>
  <c r="M127" i="45"/>
  <c r="I127" i="45"/>
  <c r="K127" i="45"/>
  <c r="H127" i="45"/>
  <c r="L127" i="45"/>
  <c r="N127" i="44"/>
  <c r="J127" i="44"/>
  <c r="K127" i="44"/>
  <c r="H127" i="44"/>
  <c r="L127" i="44"/>
  <c r="M127" i="44"/>
  <c r="I127" i="44"/>
  <c r="N127" i="43"/>
  <c r="J127" i="43"/>
  <c r="L127" i="43"/>
  <c r="L128" i="43"/>
  <c r="L126" i="43"/>
  <c r="L125" i="43"/>
  <c r="I127" i="43"/>
  <c r="K127" i="43"/>
  <c r="H127" i="43"/>
  <c r="M127" i="43"/>
  <c r="M112" i="46"/>
  <c r="I112" i="46"/>
  <c r="J112" i="46"/>
  <c r="O112" i="46"/>
  <c r="L112" i="46"/>
  <c r="H112" i="46"/>
  <c r="N112" i="46"/>
  <c r="K112" i="46"/>
  <c r="N112" i="45"/>
  <c r="J112" i="45"/>
  <c r="M112" i="45"/>
  <c r="I112" i="45"/>
  <c r="K112" i="45"/>
  <c r="H112" i="45"/>
  <c r="L112" i="45"/>
  <c r="N112" i="44"/>
  <c r="J112" i="44"/>
  <c r="K112" i="44"/>
  <c r="H112" i="44"/>
  <c r="I112" i="44"/>
  <c r="L112" i="44"/>
  <c r="M112" i="44"/>
  <c r="N112" i="43"/>
  <c r="J112" i="43"/>
  <c r="H112" i="43"/>
  <c r="I112" i="43"/>
  <c r="K112" i="43"/>
  <c r="L112" i="43"/>
  <c r="M112" i="43"/>
  <c r="L111" i="46"/>
  <c r="H111" i="46"/>
  <c r="I111" i="46"/>
  <c r="K111" i="46"/>
  <c r="M111" i="46"/>
  <c r="N111" i="46"/>
  <c r="J111" i="46"/>
  <c r="O111" i="46"/>
  <c r="M111" i="45"/>
  <c r="I111" i="45"/>
  <c r="N111" i="45"/>
  <c r="L111" i="45"/>
  <c r="H111" i="45"/>
  <c r="J111" i="45"/>
  <c r="O111" i="45"/>
  <c r="K111" i="45"/>
  <c r="M111" i="44"/>
  <c r="I111" i="44"/>
  <c r="N111" i="44"/>
  <c r="J111" i="44"/>
  <c r="K111" i="44"/>
  <c r="L111" i="44"/>
  <c r="H111" i="44"/>
  <c r="M111" i="43"/>
  <c r="I111" i="43"/>
  <c r="H111" i="43"/>
  <c r="N111" i="43"/>
  <c r="J111" i="43"/>
  <c r="K111" i="43"/>
  <c r="L111" i="43"/>
  <c r="K110" i="46"/>
  <c r="H110" i="46"/>
  <c r="N110" i="46"/>
  <c r="J110" i="46"/>
  <c r="L110" i="46"/>
  <c r="M110" i="46"/>
  <c r="I110" i="46"/>
  <c r="L110" i="45"/>
  <c r="H110" i="45"/>
  <c r="I110" i="45"/>
  <c r="J110" i="45"/>
  <c r="O110" i="45"/>
  <c r="K110" i="45"/>
  <c r="M110" i="45"/>
  <c r="N110" i="45"/>
  <c r="L110" i="44"/>
  <c r="H110" i="44"/>
  <c r="M110" i="44"/>
  <c r="I110" i="44"/>
  <c r="N110" i="44"/>
  <c r="J110" i="44"/>
  <c r="K110" i="44"/>
  <c r="L110" i="43"/>
  <c r="H110" i="43"/>
  <c r="N110" i="43"/>
  <c r="M110" i="43"/>
  <c r="I110" i="43"/>
  <c r="J110" i="43"/>
  <c r="K110" i="43"/>
  <c r="N84" i="46"/>
  <c r="J84" i="46"/>
  <c r="K84" i="46"/>
  <c r="M84" i="46"/>
  <c r="I84" i="46"/>
  <c r="O84" i="46"/>
  <c r="H84" i="46"/>
  <c r="L84" i="46"/>
  <c r="K84" i="45"/>
  <c r="H84" i="45"/>
  <c r="N84" i="45"/>
  <c r="J84" i="45"/>
  <c r="L84" i="45"/>
  <c r="I84" i="45"/>
  <c r="M84" i="45"/>
  <c r="K84" i="44"/>
  <c r="L84" i="44"/>
  <c r="H84" i="44"/>
  <c r="M84" i="44"/>
  <c r="I84" i="44"/>
  <c r="J84" i="44"/>
  <c r="N84" i="44"/>
  <c r="K84" i="43"/>
  <c r="M84" i="43"/>
  <c r="N84" i="43"/>
  <c r="L84" i="43"/>
  <c r="H84" i="43"/>
  <c r="I84" i="43"/>
  <c r="J84" i="43"/>
  <c r="K81" i="46"/>
  <c r="H81" i="46"/>
  <c r="N81" i="46"/>
  <c r="J81" i="46"/>
  <c r="L81" i="46"/>
  <c r="I81" i="46"/>
  <c r="M81" i="46"/>
  <c r="L81" i="45"/>
  <c r="H81" i="45"/>
  <c r="I81" i="45"/>
  <c r="K81" i="45"/>
  <c r="M81" i="45"/>
  <c r="N81" i="45"/>
  <c r="J81" i="45"/>
  <c r="L81" i="44"/>
  <c r="H81" i="44"/>
  <c r="M81" i="44"/>
  <c r="I81" i="44"/>
  <c r="K81" i="44"/>
  <c r="J81" i="44"/>
  <c r="N81" i="44"/>
  <c r="L81" i="43"/>
  <c r="H81" i="43"/>
  <c r="J81" i="43"/>
  <c r="K81" i="43"/>
  <c r="M81" i="43"/>
  <c r="I81" i="43"/>
  <c r="N81" i="43"/>
  <c r="N79" i="46"/>
  <c r="J79" i="46"/>
  <c r="M79" i="46"/>
  <c r="I79" i="46"/>
  <c r="K79" i="46"/>
  <c r="H79" i="46"/>
  <c r="L79" i="46"/>
  <c r="K79" i="45"/>
  <c r="H79" i="45"/>
  <c r="N79" i="45"/>
  <c r="J79" i="45"/>
  <c r="L79" i="45"/>
  <c r="M79" i="45"/>
  <c r="I79" i="45"/>
  <c r="K79" i="44"/>
  <c r="L79" i="44"/>
  <c r="H79" i="44"/>
  <c r="N79" i="44"/>
  <c r="I79" i="44"/>
  <c r="J79" i="44"/>
  <c r="M79" i="44"/>
  <c r="K79" i="43"/>
  <c r="I79" i="43"/>
  <c r="J79" i="43"/>
  <c r="L79" i="43"/>
  <c r="H79" i="43"/>
  <c r="M79" i="43"/>
  <c r="N79" i="43"/>
  <c r="L57" i="46"/>
  <c r="H57" i="46"/>
  <c r="I57" i="46"/>
  <c r="K57" i="46"/>
  <c r="M57" i="46"/>
  <c r="J57" i="46"/>
  <c r="M57" i="45"/>
  <c r="I57" i="45"/>
  <c r="J57" i="45"/>
  <c r="L57" i="45"/>
  <c r="H57" i="45"/>
  <c r="N57" i="45"/>
  <c r="K57" i="45"/>
  <c r="M57" i="44"/>
  <c r="I57" i="44"/>
  <c r="N57" i="44"/>
  <c r="J57" i="44"/>
  <c r="L57" i="44"/>
  <c r="H57" i="44"/>
  <c r="K57" i="44"/>
  <c r="M57" i="43"/>
  <c r="I57" i="43"/>
  <c r="H57" i="43"/>
  <c r="N57" i="43"/>
  <c r="J57" i="43"/>
  <c r="K57" i="43"/>
  <c r="L57" i="43"/>
  <c r="M53" i="46"/>
  <c r="I53" i="46"/>
  <c r="N53" i="46"/>
  <c r="J53" i="46"/>
  <c r="L53" i="46"/>
  <c r="H53" i="46"/>
  <c r="K53" i="46"/>
  <c r="N53" i="45"/>
  <c r="J53" i="45"/>
  <c r="K53" i="45"/>
  <c r="M53" i="45"/>
  <c r="I53" i="45"/>
  <c r="H53" i="45"/>
  <c r="L53" i="45"/>
  <c r="N53" i="44"/>
  <c r="J53" i="44"/>
  <c r="K53" i="44"/>
  <c r="I53" i="44"/>
  <c r="H53" i="44"/>
  <c r="L53" i="44"/>
  <c r="M53" i="44"/>
  <c r="N53" i="43"/>
  <c r="J53" i="43"/>
  <c r="L53" i="43"/>
  <c r="M53" i="43"/>
  <c r="K53" i="43"/>
  <c r="H53" i="43"/>
  <c r="I53" i="43"/>
  <c r="O53" i="43"/>
  <c r="K51" i="46"/>
  <c r="N51" i="46"/>
  <c r="J51" i="46"/>
  <c r="H51" i="46"/>
  <c r="I51" i="46"/>
  <c r="L51" i="46"/>
  <c r="M51" i="46"/>
  <c r="L51" i="45"/>
  <c r="H51" i="45"/>
  <c r="K51" i="45"/>
  <c r="M51" i="45"/>
  <c r="I51" i="45"/>
  <c r="N51" i="45"/>
  <c r="J51" i="45"/>
  <c r="L51" i="44"/>
  <c r="H51" i="44"/>
  <c r="M51" i="44"/>
  <c r="I51" i="44"/>
  <c r="J51" i="44"/>
  <c r="K51" i="44"/>
  <c r="N51" i="44"/>
  <c r="L51" i="43"/>
  <c r="H51" i="43"/>
  <c r="J51" i="43"/>
  <c r="K51" i="43"/>
  <c r="M51" i="43"/>
  <c r="I51" i="43"/>
  <c r="N51" i="43"/>
  <c r="J40" i="46"/>
  <c r="M40" i="46"/>
  <c r="I40" i="46"/>
  <c r="L40" i="46"/>
  <c r="H40" i="46"/>
  <c r="K40" i="46"/>
  <c r="K40" i="45"/>
  <c r="J40" i="45"/>
  <c r="I40" i="45"/>
  <c r="H40" i="45"/>
  <c r="L40" i="45"/>
  <c r="M40" i="45"/>
  <c r="K40" i="44"/>
  <c r="L40" i="44"/>
  <c r="H40" i="44"/>
  <c r="I40" i="44"/>
  <c r="J40" i="44"/>
  <c r="M40" i="44"/>
  <c r="K40" i="43"/>
  <c r="I40" i="43"/>
  <c r="J40" i="43"/>
  <c r="L40" i="43"/>
  <c r="H40" i="43"/>
  <c r="M40" i="43"/>
  <c r="N40" i="43"/>
  <c r="M20" i="46"/>
  <c r="I20" i="46"/>
  <c r="L20" i="46"/>
  <c r="H20" i="46"/>
  <c r="J20" i="46"/>
  <c r="O20" i="46"/>
  <c r="K20" i="46"/>
  <c r="J20" i="45"/>
  <c r="M20" i="45"/>
  <c r="I20" i="45"/>
  <c r="L20" i="45"/>
  <c r="H20" i="45"/>
  <c r="K20" i="45"/>
  <c r="J20" i="44"/>
  <c r="K20" i="44"/>
  <c r="I20" i="44"/>
  <c r="M20" i="44"/>
  <c r="L20" i="44"/>
  <c r="H20" i="44"/>
  <c r="J20" i="43"/>
  <c r="L20" i="43"/>
  <c r="M20" i="43"/>
  <c r="K20" i="43"/>
  <c r="H20" i="43"/>
  <c r="I20" i="43"/>
  <c r="M134" i="46"/>
  <c r="I134" i="46"/>
  <c r="J134" i="46"/>
  <c r="L134" i="46"/>
  <c r="H134" i="46"/>
  <c r="K134" i="46"/>
  <c r="N134" i="45"/>
  <c r="J134" i="45"/>
  <c r="K134" i="45"/>
  <c r="M134" i="45"/>
  <c r="I134" i="45"/>
  <c r="L134" i="45"/>
  <c r="H134" i="45"/>
  <c r="J134" i="44"/>
  <c r="K134" i="44"/>
  <c r="L134" i="44"/>
  <c r="M134" i="44"/>
  <c r="H134" i="44"/>
  <c r="I134" i="44"/>
  <c r="J134" i="43"/>
  <c r="H134" i="43"/>
  <c r="M134" i="43"/>
  <c r="K134" i="43"/>
  <c r="L134" i="43"/>
  <c r="I134" i="43"/>
  <c r="K115" i="46"/>
  <c r="K114" i="46"/>
  <c r="L115" i="46"/>
  <c r="L114" i="46"/>
  <c r="N115" i="46"/>
  <c r="N114" i="46"/>
  <c r="J115" i="46"/>
  <c r="J114" i="46"/>
  <c r="H115" i="46"/>
  <c r="I115" i="46"/>
  <c r="I114" i="46"/>
  <c r="M115" i="46"/>
  <c r="M114" i="46"/>
  <c r="L115" i="45"/>
  <c r="L114" i="45"/>
  <c r="H115" i="45"/>
  <c r="I115" i="45"/>
  <c r="I114" i="45"/>
  <c r="K115" i="45"/>
  <c r="K114" i="45"/>
  <c r="M115" i="45"/>
  <c r="M114" i="45"/>
  <c r="J115" i="45"/>
  <c r="J114" i="45"/>
  <c r="N115" i="45"/>
  <c r="N114" i="45"/>
  <c r="L115" i="44"/>
  <c r="L114" i="44"/>
  <c r="H115" i="44"/>
  <c r="M115" i="44"/>
  <c r="M114" i="44"/>
  <c r="I115" i="44"/>
  <c r="I114" i="44"/>
  <c r="J115" i="44"/>
  <c r="J114" i="44"/>
  <c r="K115" i="44"/>
  <c r="K114" i="44"/>
  <c r="N115" i="44"/>
  <c r="N114" i="44"/>
  <c r="L115" i="43"/>
  <c r="L114" i="43"/>
  <c r="H115" i="43"/>
  <c r="N115" i="43"/>
  <c r="N114" i="43"/>
  <c r="K115" i="43"/>
  <c r="K114" i="43"/>
  <c r="M115" i="43"/>
  <c r="M114" i="43"/>
  <c r="I115" i="43"/>
  <c r="I114" i="43"/>
  <c r="J115" i="43"/>
  <c r="J114" i="43"/>
  <c r="N109" i="46"/>
  <c r="J109" i="46"/>
  <c r="M109" i="46"/>
  <c r="I109" i="46"/>
  <c r="K109" i="46"/>
  <c r="H109" i="46"/>
  <c r="L109" i="46"/>
  <c r="K109" i="45"/>
  <c r="H109" i="45"/>
  <c r="J109" i="45"/>
  <c r="L109" i="45"/>
  <c r="I109" i="45"/>
  <c r="M109" i="45"/>
  <c r="K109" i="44"/>
  <c r="L109" i="44"/>
  <c r="H109" i="44"/>
  <c r="M109" i="44"/>
  <c r="I109" i="44"/>
  <c r="J109" i="44"/>
  <c r="N109" i="44"/>
  <c r="K109" i="43"/>
  <c r="M109" i="43"/>
  <c r="N109" i="43"/>
  <c r="L109" i="43"/>
  <c r="H109" i="43"/>
  <c r="I109" i="43"/>
  <c r="J109" i="43"/>
  <c r="M98" i="46"/>
  <c r="I98" i="46"/>
  <c r="N98" i="46"/>
  <c r="L98" i="46"/>
  <c r="H98" i="46"/>
  <c r="J98" i="46"/>
  <c r="O98" i="46"/>
  <c r="K98" i="46"/>
  <c r="N98" i="45"/>
  <c r="J98" i="45"/>
  <c r="K98" i="45"/>
  <c r="M98" i="45"/>
  <c r="I98" i="45"/>
  <c r="H98" i="45"/>
  <c r="L98" i="45"/>
  <c r="N98" i="44"/>
  <c r="J98" i="44"/>
  <c r="K98" i="44"/>
  <c r="H98" i="44"/>
  <c r="L98" i="44"/>
  <c r="M98" i="44"/>
  <c r="I98" i="44"/>
  <c r="N98" i="43"/>
  <c r="J98" i="43"/>
  <c r="H98" i="43"/>
  <c r="I98" i="43"/>
  <c r="K98" i="43"/>
  <c r="L98" i="43"/>
  <c r="M98" i="43"/>
  <c r="K96" i="46"/>
  <c r="L96" i="46"/>
  <c r="N96" i="46"/>
  <c r="J96" i="46"/>
  <c r="J94" i="46"/>
  <c r="H96" i="46"/>
  <c r="M96" i="46"/>
  <c r="I96" i="46"/>
  <c r="L96" i="45"/>
  <c r="L94" i="45"/>
  <c r="H96" i="45"/>
  <c r="M96" i="45"/>
  <c r="K96" i="45"/>
  <c r="I96" i="45"/>
  <c r="I94" i="45"/>
  <c r="J96" i="45"/>
  <c r="N96" i="45"/>
  <c r="L96" i="44"/>
  <c r="H96" i="44"/>
  <c r="M96" i="44"/>
  <c r="I96" i="44"/>
  <c r="N96" i="44"/>
  <c r="J96" i="44"/>
  <c r="K96" i="44"/>
  <c r="L96" i="43"/>
  <c r="H96" i="43"/>
  <c r="N96" i="43"/>
  <c r="M96" i="43"/>
  <c r="I96" i="43"/>
  <c r="J96" i="43"/>
  <c r="K96" i="43"/>
  <c r="K94" i="43"/>
  <c r="L92" i="46"/>
  <c r="H92" i="46"/>
  <c r="I92" i="46"/>
  <c r="K92" i="46"/>
  <c r="M92" i="46"/>
  <c r="J92" i="46"/>
  <c r="N92" i="46"/>
  <c r="M92" i="45"/>
  <c r="I92" i="45"/>
  <c r="L92" i="45"/>
  <c r="H92" i="45"/>
  <c r="O92" i="45"/>
  <c r="N92" i="45"/>
  <c r="K92" i="45"/>
  <c r="M92" i="44"/>
  <c r="I92" i="44"/>
  <c r="N92" i="44"/>
  <c r="J92" i="44"/>
  <c r="K92" i="44"/>
  <c r="L92" i="44"/>
  <c r="H92" i="44"/>
  <c r="M92" i="43"/>
  <c r="I92" i="43"/>
  <c r="K92" i="43"/>
  <c r="L92" i="43"/>
  <c r="N92" i="43"/>
  <c r="J92" i="43"/>
  <c r="H92" i="43"/>
  <c r="N74" i="46"/>
  <c r="J74" i="46"/>
  <c r="M74" i="46"/>
  <c r="I74" i="46"/>
  <c r="K74" i="46"/>
  <c r="L74" i="46"/>
  <c r="H74" i="46"/>
  <c r="K74" i="45"/>
  <c r="H74" i="45"/>
  <c r="N74" i="45"/>
  <c r="J74" i="45"/>
  <c r="L74" i="45"/>
  <c r="M74" i="45"/>
  <c r="I74" i="45"/>
  <c r="K74" i="44"/>
  <c r="L74" i="44"/>
  <c r="H74" i="44"/>
  <c r="J74" i="44"/>
  <c r="N74" i="44"/>
  <c r="M74" i="44"/>
  <c r="I74" i="44"/>
  <c r="K74" i="43"/>
  <c r="M74" i="43"/>
  <c r="J74" i="43"/>
  <c r="L74" i="43"/>
  <c r="H74" i="43"/>
  <c r="I74" i="43"/>
  <c r="N74" i="43"/>
  <c r="L72" i="46"/>
  <c r="H72" i="46"/>
  <c r="M72" i="46"/>
  <c r="K72" i="46"/>
  <c r="I72" i="46"/>
  <c r="J72" i="46"/>
  <c r="N72" i="46"/>
  <c r="M72" i="45"/>
  <c r="M71" i="45"/>
  <c r="I72" i="45"/>
  <c r="N72" i="45"/>
  <c r="L72" i="45"/>
  <c r="H72" i="45"/>
  <c r="J72" i="45"/>
  <c r="K72" i="45"/>
  <c r="M72" i="44"/>
  <c r="I72" i="44"/>
  <c r="N72" i="44"/>
  <c r="J72" i="44"/>
  <c r="H72" i="44"/>
  <c r="L72" i="44"/>
  <c r="K72" i="44"/>
  <c r="N72" i="43"/>
  <c r="J72" i="43"/>
  <c r="L72" i="43"/>
  <c r="L71" i="43"/>
  <c r="M72" i="43"/>
  <c r="K72" i="43"/>
  <c r="H72" i="43"/>
  <c r="I72" i="43"/>
  <c r="N68" i="46"/>
  <c r="J68" i="46"/>
  <c r="K68" i="46"/>
  <c r="M68" i="46"/>
  <c r="I68" i="46"/>
  <c r="O68" i="46"/>
  <c r="H68" i="46"/>
  <c r="L68" i="46"/>
  <c r="K68" i="45"/>
  <c r="L68" i="45"/>
  <c r="N68" i="45"/>
  <c r="J68" i="45"/>
  <c r="H68" i="45"/>
  <c r="M68" i="45"/>
  <c r="I68" i="45"/>
  <c r="K68" i="44"/>
  <c r="L68" i="44"/>
  <c r="H68" i="44"/>
  <c r="N68" i="44"/>
  <c r="J68" i="44"/>
  <c r="M68" i="44"/>
  <c r="I68" i="44"/>
  <c r="L68" i="43"/>
  <c r="H68" i="43"/>
  <c r="J68" i="43"/>
  <c r="K68" i="43"/>
  <c r="M68" i="43"/>
  <c r="I68" i="43"/>
  <c r="N68" i="43"/>
  <c r="L66" i="46"/>
  <c r="H66" i="46"/>
  <c r="I66" i="46"/>
  <c r="K66" i="46"/>
  <c r="M66" i="46"/>
  <c r="N66" i="46"/>
  <c r="J66" i="46"/>
  <c r="M66" i="45"/>
  <c r="I66" i="45"/>
  <c r="N66" i="45"/>
  <c r="L66" i="45"/>
  <c r="H66" i="45"/>
  <c r="J66" i="45"/>
  <c r="O66" i="45"/>
  <c r="K66" i="45"/>
  <c r="M66" i="44"/>
  <c r="I66" i="44"/>
  <c r="N66" i="44"/>
  <c r="J66" i="44"/>
  <c r="L66" i="44"/>
  <c r="H66" i="44"/>
  <c r="K66" i="44"/>
  <c r="N66" i="43"/>
  <c r="J66" i="43"/>
  <c r="H66" i="43"/>
  <c r="I66" i="43"/>
  <c r="K66" i="43"/>
  <c r="L66" i="43"/>
  <c r="M66" i="43"/>
  <c r="N64" i="46"/>
  <c r="J64" i="46"/>
  <c r="M64" i="46"/>
  <c r="I64" i="46"/>
  <c r="K64" i="46"/>
  <c r="L64" i="46"/>
  <c r="H64" i="46"/>
  <c r="K64" i="45"/>
  <c r="L64" i="45"/>
  <c r="N64" i="45"/>
  <c r="J64" i="45"/>
  <c r="H64" i="45"/>
  <c r="I64" i="45"/>
  <c r="M64" i="45"/>
  <c r="K64" i="44"/>
  <c r="L64" i="44"/>
  <c r="H64" i="44"/>
  <c r="J64" i="44"/>
  <c r="I64" i="44"/>
  <c r="M64" i="44"/>
  <c r="N64" i="44"/>
  <c r="L64" i="43"/>
  <c r="H64" i="43"/>
  <c r="N64" i="43"/>
  <c r="N63" i="43"/>
  <c r="M64" i="43"/>
  <c r="I64" i="43"/>
  <c r="J64" i="43"/>
  <c r="K64" i="43"/>
  <c r="M62" i="46"/>
  <c r="I62" i="46"/>
  <c r="N62" i="46"/>
  <c r="L62" i="46"/>
  <c r="H62" i="46"/>
  <c r="J62" i="46"/>
  <c r="O62" i="46"/>
  <c r="K62" i="46"/>
  <c r="N62" i="45"/>
  <c r="J62" i="45"/>
  <c r="M62" i="45"/>
  <c r="I62" i="45"/>
  <c r="K62" i="45"/>
  <c r="H62" i="45"/>
  <c r="L62" i="45"/>
  <c r="N62" i="44"/>
  <c r="J62" i="44"/>
  <c r="K62" i="44"/>
  <c r="I62" i="44"/>
  <c r="M62" i="44"/>
  <c r="L62" i="44"/>
  <c r="H62" i="44"/>
  <c r="N62" i="43"/>
  <c r="J62" i="43"/>
  <c r="L62" i="43"/>
  <c r="I62" i="43"/>
  <c r="K62" i="43"/>
  <c r="H62" i="43"/>
  <c r="M62" i="43"/>
  <c r="K60" i="46"/>
  <c r="L60" i="46"/>
  <c r="N60" i="46"/>
  <c r="J60" i="46"/>
  <c r="H60" i="46"/>
  <c r="I60" i="46"/>
  <c r="M60" i="46"/>
  <c r="L60" i="45"/>
  <c r="H60" i="45"/>
  <c r="M60" i="45"/>
  <c r="K60" i="45"/>
  <c r="I60" i="45"/>
  <c r="J60" i="45"/>
  <c r="O60" i="45"/>
  <c r="N60" i="45"/>
  <c r="L60" i="44"/>
  <c r="H60" i="44"/>
  <c r="M60" i="44"/>
  <c r="I60" i="44"/>
  <c r="K60" i="44"/>
  <c r="N60" i="44"/>
  <c r="J60" i="44"/>
  <c r="O60" i="44"/>
  <c r="L60" i="43"/>
  <c r="H60" i="43"/>
  <c r="J60" i="43"/>
  <c r="K60" i="43"/>
  <c r="M60" i="43"/>
  <c r="I60" i="43"/>
  <c r="N60" i="43"/>
  <c r="M58" i="46"/>
  <c r="I58" i="46"/>
  <c r="J58" i="46"/>
  <c r="L58" i="46"/>
  <c r="H58" i="46"/>
  <c r="N58" i="46"/>
  <c r="K58" i="46"/>
  <c r="N58" i="45"/>
  <c r="J58" i="45"/>
  <c r="K58" i="45"/>
  <c r="M58" i="45"/>
  <c r="I58" i="45"/>
  <c r="L58" i="45"/>
  <c r="H58" i="45"/>
  <c r="N58" i="44"/>
  <c r="J58" i="44"/>
  <c r="K58" i="44"/>
  <c r="M58" i="44"/>
  <c r="I58" i="44"/>
  <c r="L58" i="44"/>
  <c r="H58" i="44"/>
  <c r="N58" i="43"/>
  <c r="J58" i="43"/>
  <c r="H58" i="43"/>
  <c r="I58" i="43"/>
  <c r="K58" i="43"/>
  <c r="L58" i="43"/>
  <c r="M58" i="43"/>
  <c r="M49" i="46"/>
  <c r="I49" i="46"/>
  <c r="L49" i="46"/>
  <c r="H49" i="46"/>
  <c r="J49" i="46"/>
  <c r="O49" i="46"/>
  <c r="N49" i="46"/>
  <c r="K49" i="46"/>
  <c r="N49" i="45"/>
  <c r="J49" i="45"/>
  <c r="K49" i="45"/>
  <c r="M49" i="45"/>
  <c r="I49" i="45"/>
  <c r="L49" i="45"/>
  <c r="H49" i="45"/>
  <c r="J49" i="44"/>
  <c r="K49" i="44"/>
  <c r="M49" i="44"/>
  <c r="H49" i="44"/>
  <c r="I49" i="44"/>
  <c r="L49" i="44"/>
  <c r="J49" i="43"/>
  <c r="H49" i="43"/>
  <c r="I49" i="43"/>
  <c r="K49" i="43"/>
  <c r="L49" i="43"/>
  <c r="M49" i="43"/>
  <c r="M43" i="46"/>
  <c r="I43" i="46"/>
  <c r="L43" i="46"/>
  <c r="H43" i="46"/>
  <c r="J43" i="46"/>
  <c r="K43" i="46"/>
  <c r="N43" i="46"/>
  <c r="N43" i="45"/>
  <c r="J43" i="45"/>
  <c r="M43" i="45"/>
  <c r="I43" i="45"/>
  <c r="K43" i="45"/>
  <c r="H43" i="45"/>
  <c r="L43" i="45"/>
  <c r="N43" i="44"/>
  <c r="J43" i="44"/>
  <c r="K43" i="44"/>
  <c r="I43" i="44"/>
  <c r="M43" i="44"/>
  <c r="L43" i="44"/>
  <c r="H43" i="44"/>
  <c r="N43" i="43"/>
  <c r="J43" i="43"/>
  <c r="L43" i="43"/>
  <c r="M43" i="43"/>
  <c r="K43" i="43"/>
  <c r="H43" i="43"/>
  <c r="I43" i="43"/>
  <c r="K41" i="46"/>
  <c r="N41" i="46"/>
  <c r="J41" i="46"/>
  <c r="H41" i="46"/>
  <c r="L41" i="46"/>
  <c r="I41" i="46"/>
  <c r="M41" i="46"/>
  <c r="L41" i="45"/>
  <c r="H41" i="45"/>
  <c r="M41" i="45"/>
  <c r="K41" i="45"/>
  <c r="I41" i="45"/>
  <c r="N41" i="45"/>
  <c r="J41" i="45"/>
  <c r="L41" i="44"/>
  <c r="H41" i="44"/>
  <c r="M41" i="44"/>
  <c r="I41" i="44"/>
  <c r="K41" i="44"/>
  <c r="N41" i="44"/>
  <c r="J41" i="44"/>
  <c r="L41" i="43"/>
  <c r="H41" i="43"/>
  <c r="J41" i="43"/>
  <c r="K41" i="43"/>
  <c r="M41" i="43"/>
  <c r="I41" i="43"/>
  <c r="N41" i="43"/>
  <c r="L38" i="46"/>
  <c r="H38" i="46"/>
  <c r="K38" i="46"/>
  <c r="M38" i="46"/>
  <c r="I38" i="46"/>
  <c r="N38" i="46"/>
  <c r="J38" i="46"/>
  <c r="M38" i="45"/>
  <c r="I38" i="45"/>
  <c r="L38" i="45"/>
  <c r="H38" i="45"/>
  <c r="K38" i="45"/>
  <c r="J38" i="45"/>
  <c r="N38" i="45"/>
  <c r="M38" i="44"/>
  <c r="I38" i="44"/>
  <c r="N38" i="44"/>
  <c r="J38" i="44"/>
  <c r="L38" i="44"/>
  <c r="H38" i="44"/>
  <c r="K38" i="44"/>
  <c r="M38" i="43"/>
  <c r="I38" i="43"/>
  <c r="H38" i="43"/>
  <c r="N38" i="43"/>
  <c r="J38" i="43"/>
  <c r="K38" i="43"/>
  <c r="L38" i="43"/>
  <c r="M33" i="46"/>
  <c r="M32" i="46"/>
  <c r="I33" i="46"/>
  <c r="I32" i="46"/>
  <c r="L33" i="46"/>
  <c r="L32" i="46"/>
  <c r="H33" i="46"/>
  <c r="J33" i="46"/>
  <c r="J32" i="46"/>
  <c r="N33" i="46"/>
  <c r="N32" i="46"/>
  <c r="K33" i="46"/>
  <c r="K32" i="46"/>
  <c r="N33" i="45"/>
  <c r="N32" i="45"/>
  <c r="J33" i="45"/>
  <c r="J32" i="45"/>
  <c r="M33" i="45"/>
  <c r="I33" i="45"/>
  <c r="L33" i="45"/>
  <c r="L32" i="45"/>
  <c r="H33" i="45"/>
  <c r="H32" i="45"/>
  <c r="K33" i="45"/>
  <c r="K32" i="45"/>
  <c r="N33" i="44"/>
  <c r="J33" i="44"/>
  <c r="J32" i="44"/>
  <c r="K33" i="44"/>
  <c r="K32" i="44"/>
  <c r="I33" i="44"/>
  <c r="I32" i="44"/>
  <c r="H33" i="44"/>
  <c r="H32" i="44"/>
  <c r="L33" i="44"/>
  <c r="M33" i="44"/>
  <c r="M32" i="44"/>
  <c r="N33" i="43"/>
  <c r="N32" i="43"/>
  <c r="J33" i="43"/>
  <c r="L33" i="43"/>
  <c r="L32" i="43"/>
  <c r="M33" i="43"/>
  <c r="M32" i="43"/>
  <c r="K33" i="43"/>
  <c r="K32" i="43"/>
  <c r="H33" i="43"/>
  <c r="H32" i="43"/>
  <c r="I33" i="43"/>
  <c r="L31" i="46"/>
  <c r="H31" i="46"/>
  <c r="K31" i="46"/>
  <c r="I31" i="46"/>
  <c r="N31" i="46"/>
  <c r="J31" i="46"/>
  <c r="M31" i="45"/>
  <c r="I31" i="45"/>
  <c r="L31" i="45"/>
  <c r="H31" i="45"/>
  <c r="K31" i="45"/>
  <c r="J31" i="45"/>
  <c r="N31" i="45"/>
  <c r="M31" i="44"/>
  <c r="I31" i="44"/>
  <c r="N31" i="44"/>
  <c r="J31" i="44"/>
  <c r="H31" i="44"/>
  <c r="L31" i="44"/>
  <c r="K31" i="44"/>
  <c r="M31" i="43"/>
  <c r="I31" i="43"/>
  <c r="K31" i="43"/>
  <c r="L31" i="43"/>
  <c r="N31" i="43"/>
  <c r="J31" i="43"/>
  <c r="H31" i="43"/>
  <c r="M24" i="46"/>
  <c r="I24" i="46"/>
  <c r="L24" i="46"/>
  <c r="H24" i="46"/>
  <c r="N24" i="46"/>
  <c r="K24" i="46"/>
  <c r="J24" i="46"/>
  <c r="N24" i="45"/>
  <c r="J24" i="45"/>
  <c r="M24" i="45"/>
  <c r="I24" i="45"/>
  <c r="H24" i="45"/>
  <c r="K24" i="45"/>
  <c r="L24" i="45"/>
  <c r="N24" i="44"/>
  <c r="J24" i="44"/>
  <c r="K24" i="44"/>
  <c r="M24" i="44"/>
  <c r="H24" i="44"/>
  <c r="I24" i="44"/>
  <c r="L24" i="44"/>
  <c r="N24" i="43"/>
  <c r="J24" i="43"/>
  <c r="H24" i="43"/>
  <c r="I24" i="43"/>
  <c r="K24" i="43"/>
  <c r="L24" i="43"/>
  <c r="M24" i="43"/>
  <c r="N21" i="46"/>
  <c r="J21" i="46"/>
  <c r="M21" i="46"/>
  <c r="I21" i="46"/>
  <c r="K21" i="46"/>
  <c r="H21" i="46"/>
  <c r="L21" i="46"/>
  <c r="K21" i="45"/>
  <c r="N21" i="45"/>
  <c r="J21" i="45"/>
  <c r="M21" i="45"/>
  <c r="I21" i="45"/>
  <c r="L21" i="45"/>
  <c r="H21" i="45"/>
  <c r="K21" i="44"/>
  <c r="L21" i="44"/>
  <c r="H21" i="44"/>
  <c r="J21" i="44"/>
  <c r="I21" i="44"/>
  <c r="M21" i="44"/>
  <c r="N21" i="44"/>
  <c r="K21" i="43"/>
  <c r="M21" i="43"/>
  <c r="N21" i="43"/>
  <c r="L21" i="43"/>
  <c r="H21" i="43"/>
  <c r="I21" i="43"/>
  <c r="J21" i="43"/>
  <c r="N14" i="46"/>
  <c r="J14" i="46"/>
  <c r="M14" i="46"/>
  <c r="I14" i="46"/>
  <c r="K14" i="46"/>
  <c r="L14" i="46"/>
  <c r="H14" i="46"/>
  <c r="K14" i="45"/>
  <c r="N14" i="45"/>
  <c r="J14" i="45"/>
  <c r="I14" i="45"/>
  <c r="M14" i="45"/>
  <c r="H14" i="45"/>
  <c r="L14" i="45"/>
  <c r="K14" i="44"/>
  <c r="L14" i="44"/>
  <c r="N14" i="44"/>
  <c r="H14" i="44"/>
  <c r="I14" i="44"/>
  <c r="J14" i="44"/>
  <c r="M14" i="44"/>
  <c r="K14" i="43"/>
  <c r="I14" i="43"/>
  <c r="J14" i="43"/>
  <c r="L14" i="43"/>
  <c r="H14" i="43"/>
  <c r="M14" i="43"/>
  <c r="N14" i="43"/>
  <c r="L12" i="46"/>
  <c r="H12" i="46"/>
  <c r="K12" i="46"/>
  <c r="M12" i="46"/>
  <c r="I12" i="46"/>
  <c r="J12" i="46"/>
  <c r="N12" i="46"/>
  <c r="M12" i="45"/>
  <c r="I12" i="45"/>
  <c r="L12" i="45"/>
  <c r="H12" i="45"/>
  <c r="J12" i="45"/>
  <c r="K12" i="45"/>
  <c r="N12" i="45"/>
  <c r="M12" i="44"/>
  <c r="I12" i="44"/>
  <c r="K12" i="44"/>
  <c r="H12" i="44"/>
  <c r="J12" i="44"/>
  <c r="L12" i="44"/>
  <c r="N12" i="44"/>
  <c r="M12" i="43"/>
  <c r="I12" i="43"/>
  <c r="H12" i="43"/>
  <c r="N12" i="43"/>
  <c r="J12" i="43"/>
  <c r="K12" i="43"/>
  <c r="L12" i="43"/>
  <c r="N143" i="46"/>
  <c r="J143" i="46"/>
  <c r="M143" i="46"/>
  <c r="I143" i="46"/>
  <c r="K143" i="46"/>
  <c r="H143" i="46"/>
  <c r="L143" i="46"/>
  <c r="K143" i="45"/>
  <c r="H143" i="45"/>
  <c r="N143" i="45"/>
  <c r="J143" i="45"/>
  <c r="L143" i="45"/>
  <c r="I143" i="45"/>
  <c r="M143" i="45"/>
  <c r="K143" i="44"/>
  <c r="L143" i="44"/>
  <c r="H143" i="44"/>
  <c r="M143" i="44"/>
  <c r="I143" i="44"/>
  <c r="J143" i="44"/>
  <c r="N143" i="44"/>
  <c r="K143" i="43"/>
  <c r="I143" i="43"/>
  <c r="N143" i="43"/>
  <c r="L143" i="43"/>
  <c r="H143" i="43"/>
  <c r="M143" i="43"/>
  <c r="J143" i="43"/>
  <c r="L141" i="46"/>
  <c r="H141" i="46"/>
  <c r="M141" i="46"/>
  <c r="K141" i="46"/>
  <c r="I141" i="46"/>
  <c r="J141" i="46"/>
  <c r="N141" i="46"/>
  <c r="M141" i="45"/>
  <c r="I141" i="45"/>
  <c r="N141" i="45"/>
  <c r="L141" i="45"/>
  <c r="H141" i="45"/>
  <c r="J141" i="45"/>
  <c r="K141" i="45"/>
  <c r="M141" i="44"/>
  <c r="I141" i="44"/>
  <c r="N141" i="44"/>
  <c r="J141" i="44"/>
  <c r="K141" i="44"/>
  <c r="H141" i="44"/>
  <c r="L141" i="44"/>
  <c r="M141" i="43"/>
  <c r="I141" i="43"/>
  <c r="H141" i="43"/>
  <c r="N141" i="43"/>
  <c r="J141" i="43"/>
  <c r="K141" i="43"/>
  <c r="L141" i="43"/>
  <c r="N139" i="46"/>
  <c r="J139" i="46"/>
  <c r="K139" i="46"/>
  <c r="M139" i="46"/>
  <c r="I139" i="46"/>
  <c r="H139" i="46"/>
  <c r="L139" i="46"/>
  <c r="K139" i="45"/>
  <c r="H139" i="45"/>
  <c r="N139" i="45"/>
  <c r="J139" i="45"/>
  <c r="L139" i="45"/>
  <c r="M139" i="45"/>
  <c r="I139" i="45"/>
  <c r="K139" i="44"/>
  <c r="L139" i="44"/>
  <c r="H139" i="44"/>
  <c r="I139" i="44"/>
  <c r="J139" i="44"/>
  <c r="M139" i="44"/>
  <c r="N139" i="44"/>
  <c r="K139" i="43"/>
  <c r="M139" i="43"/>
  <c r="N139" i="43"/>
  <c r="L139" i="43"/>
  <c r="H139" i="43"/>
  <c r="I139" i="43"/>
  <c r="J139" i="43"/>
  <c r="M137" i="46"/>
  <c r="I137" i="46"/>
  <c r="J137" i="46"/>
  <c r="L137" i="46"/>
  <c r="H137" i="46"/>
  <c r="N137" i="46"/>
  <c r="K137" i="46"/>
  <c r="N137" i="45"/>
  <c r="J137" i="45"/>
  <c r="M137" i="45"/>
  <c r="I137" i="45"/>
  <c r="K137" i="45"/>
  <c r="L137" i="45"/>
  <c r="H137" i="45"/>
  <c r="N137" i="44"/>
  <c r="J137" i="44"/>
  <c r="K137" i="44"/>
  <c r="H137" i="44"/>
  <c r="L137" i="44"/>
  <c r="M137" i="44"/>
  <c r="I137" i="44"/>
  <c r="N137" i="43"/>
  <c r="J137" i="43"/>
  <c r="L137" i="43"/>
  <c r="I137" i="43"/>
  <c r="K137" i="43"/>
  <c r="H137" i="43"/>
  <c r="M137" i="43"/>
  <c r="N135" i="46"/>
  <c r="J135" i="46"/>
  <c r="M135" i="46"/>
  <c r="I135" i="46"/>
  <c r="K135" i="46"/>
  <c r="H135" i="46"/>
  <c r="L135" i="46"/>
  <c r="K135" i="45"/>
  <c r="L135" i="45"/>
  <c r="N135" i="45"/>
  <c r="J135" i="45"/>
  <c r="H135" i="45"/>
  <c r="M135" i="45"/>
  <c r="I135" i="45"/>
  <c r="K135" i="44"/>
  <c r="L135" i="44"/>
  <c r="H135" i="44"/>
  <c r="M135" i="44"/>
  <c r="I135" i="44"/>
  <c r="J135" i="44"/>
  <c r="N135" i="44"/>
  <c r="K135" i="43"/>
  <c r="I135" i="43"/>
  <c r="N135" i="43"/>
  <c r="L135" i="43"/>
  <c r="H135" i="43"/>
  <c r="M135" i="43"/>
  <c r="J135" i="43"/>
  <c r="N128" i="46"/>
  <c r="J128" i="46"/>
  <c r="K128" i="46"/>
  <c r="M128" i="46"/>
  <c r="I128" i="46"/>
  <c r="H128" i="46"/>
  <c r="L128" i="46"/>
  <c r="K128" i="45"/>
  <c r="H128" i="45"/>
  <c r="J128" i="45"/>
  <c r="L128" i="45"/>
  <c r="I128" i="45"/>
  <c r="M128" i="45"/>
  <c r="K128" i="44"/>
  <c r="L128" i="44"/>
  <c r="H128" i="44"/>
  <c r="I128" i="44"/>
  <c r="J128" i="44"/>
  <c r="M128" i="44"/>
  <c r="N128" i="44"/>
  <c r="K128" i="43"/>
  <c r="M128" i="43"/>
  <c r="J128" i="43"/>
  <c r="H128" i="43"/>
  <c r="I128" i="43"/>
  <c r="N128" i="43"/>
  <c r="L87" i="46"/>
  <c r="H87" i="46"/>
  <c r="M87" i="46"/>
  <c r="K87" i="46"/>
  <c r="K86" i="46"/>
  <c r="I87" i="46"/>
  <c r="J87" i="46"/>
  <c r="M87" i="45"/>
  <c r="M86" i="45"/>
  <c r="I87" i="45"/>
  <c r="J87" i="45"/>
  <c r="L87" i="45"/>
  <c r="H87" i="45"/>
  <c r="K87" i="45"/>
  <c r="K86" i="45"/>
  <c r="M87" i="44"/>
  <c r="I87" i="44"/>
  <c r="J87" i="44"/>
  <c r="K87" i="44"/>
  <c r="L87" i="44"/>
  <c r="H87" i="44"/>
  <c r="M87" i="43"/>
  <c r="I87" i="43"/>
  <c r="H87" i="43"/>
  <c r="J87" i="43"/>
  <c r="J86" i="43"/>
  <c r="K87" i="43"/>
  <c r="K86" i="43"/>
  <c r="L87" i="43"/>
  <c r="L86" i="43"/>
  <c r="K85" i="46"/>
  <c r="L85" i="46"/>
  <c r="N85" i="46"/>
  <c r="J85" i="46"/>
  <c r="H85" i="46"/>
  <c r="M85" i="46"/>
  <c r="I85" i="46"/>
  <c r="L85" i="45"/>
  <c r="H85" i="45"/>
  <c r="I85" i="45"/>
  <c r="K85" i="45"/>
  <c r="M85" i="45"/>
  <c r="N85" i="45"/>
  <c r="J85" i="45"/>
  <c r="L85" i="44"/>
  <c r="H85" i="44"/>
  <c r="M85" i="44"/>
  <c r="I85" i="44"/>
  <c r="N85" i="44"/>
  <c r="J85" i="44"/>
  <c r="K85" i="44"/>
  <c r="L85" i="43"/>
  <c r="H85" i="43"/>
  <c r="N85" i="43"/>
  <c r="M85" i="43"/>
  <c r="I85" i="43"/>
  <c r="J85" i="43"/>
  <c r="K85" i="43"/>
  <c r="L82" i="46"/>
  <c r="H82" i="46"/>
  <c r="I82" i="46"/>
  <c r="K82" i="46"/>
  <c r="M82" i="46"/>
  <c r="J82" i="46"/>
  <c r="N82" i="46"/>
  <c r="M82" i="45"/>
  <c r="I82" i="45"/>
  <c r="N82" i="45"/>
  <c r="L82" i="45"/>
  <c r="H82" i="45"/>
  <c r="J82" i="45"/>
  <c r="O82" i="45"/>
  <c r="K82" i="45"/>
  <c r="M82" i="44"/>
  <c r="I82" i="44"/>
  <c r="N82" i="44"/>
  <c r="J82" i="44"/>
  <c r="H82" i="44"/>
  <c r="K82" i="44"/>
  <c r="L82" i="44"/>
  <c r="M82" i="43"/>
  <c r="I82" i="43"/>
  <c r="K82" i="43"/>
  <c r="L82" i="43"/>
  <c r="H82" i="43"/>
  <c r="N82" i="43"/>
  <c r="J82" i="43"/>
  <c r="L52" i="46"/>
  <c r="H52" i="46"/>
  <c r="K52" i="46"/>
  <c r="I52" i="46"/>
  <c r="M52" i="46"/>
  <c r="N52" i="46"/>
  <c r="J52" i="46"/>
  <c r="M52" i="45"/>
  <c r="I52" i="45"/>
  <c r="J52" i="45"/>
  <c r="L52" i="45"/>
  <c r="H52" i="45"/>
  <c r="N52" i="45"/>
  <c r="K52" i="45"/>
  <c r="M52" i="44"/>
  <c r="I52" i="44"/>
  <c r="N52" i="44"/>
  <c r="J52" i="44"/>
  <c r="H52" i="44"/>
  <c r="L52" i="44"/>
  <c r="K52" i="44"/>
  <c r="M52" i="43"/>
  <c r="I52" i="43"/>
  <c r="K52" i="43"/>
  <c r="L52" i="43"/>
  <c r="N52" i="43"/>
  <c r="J52" i="43"/>
  <c r="H52" i="43"/>
  <c r="N50" i="46"/>
  <c r="J50" i="46"/>
  <c r="M50" i="46"/>
  <c r="I50" i="46"/>
  <c r="K50" i="46"/>
  <c r="L50" i="46"/>
  <c r="H50" i="46"/>
  <c r="K50" i="45"/>
  <c r="L50" i="45"/>
  <c r="N50" i="45"/>
  <c r="J50" i="45"/>
  <c r="H50" i="45"/>
  <c r="M50" i="45"/>
  <c r="I50" i="45"/>
  <c r="K50" i="44"/>
  <c r="L50" i="44"/>
  <c r="H50" i="44"/>
  <c r="N50" i="44"/>
  <c r="J50" i="44"/>
  <c r="M50" i="44"/>
  <c r="I50" i="44"/>
  <c r="K50" i="43"/>
  <c r="I50" i="43"/>
  <c r="J50" i="43"/>
  <c r="L50" i="43"/>
  <c r="H50" i="43"/>
  <c r="M50" i="43"/>
  <c r="N50" i="43"/>
  <c r="K18" i="46"/>
  <c r="N18" i="46"/>
  <c r="J18" i="46"/>
  <c r="H18" i="46"/>
  <c r="I18" i="46"/>
  <c r="L18" i="46"/>
  <c r="M18" i="46"/>
  <c r="L18" i="45"/>
  <c r="H18" i="45"/>
  <c r="K18" i="45"/>
  <c r="J18" i="45"/>
  <c r="I18" i="45"/>
  <c r="M18" i="45"/>
  <c r="N18" i="45"/>
  <c r="L18" i="44"/>
  <c r="H18" i="44"/>
  <c r="M18" i="44"/>
  <c r="I18" i="44"/>
  <c r="K18" i="44"/>
  <c r="N18" i="44"/>
  <c r="J18" i="44"/>
  <c r="L18" i="43"/>
  <c r="H18" i="43"/>
  <c r="J18" i="43"/>
  <c r="K18" i="43"/>
  <c r="M18" i="43"/>
  <c r="I18" i="43"/>
  <c r="N18" i="43"/>
  <c r="O168" i="46"/>
  <c r="O153" i="43"/>
  <c r="H12" i="39"/>
  <c r="L12" i="39"/>
  <c r="K12" i="39"/>
  <c r="J12" i="39"/>
  <c r="N12" i="39"/>
  <c r="I12" i="39"/>
  <c r="M12" i="39"/>
  <c r="L115" i="39"/>
  <c r="M115" i="39"/>
  <c r="I115" i="39"/>
  <c r="N115" i="39"/>
  <c r="J115" i="39"/>
  <c r="K115" i="39"/>
  <c r="J109" i="39"/>
  <c r="K109" i="39"/>
  <c r="L109" i="39"/>
  <c r="M109" i="39"/>
  <c r="I109" i="39"/>
  <c r="L14" i="39"/>
  <c r="H14" i="39"/>
  <c r="K14" i="39"/>
  <c r="I14" i="39"/>
  <c r="J14" i="39"/>
  <c r="N14" i="39"/>
  <c r="M14" i="39"/>
  <c r="J10" i="39"/>
  <c r="N10" i="39"/>
  <c r="I10" i="39"/>
  <c r="M10" i="39"/>
  <c r="H10" i="39"/>
  <c r="L10" i="39"/>
  <c r="K10" i="39"/>
  <c r="N113" i="39"/>
  <c r="J113" i="39"/>
  <c r="K113" i="39"/>
  <c r="L113" i="39"/>
  <c r="M113" i="39"/>
  <c r="I113" i="39"/>
  <c r="O113" i="39"/>
  <c r="I13" i="39"/>
  <c r="M13" i="39"/>
  <c r="H13" i="39"/>
  <c r="L13" i="39"/>
  <c r="K13" i="39"/>
  <c r="J13" i="39"/>
  <c r="N13" i="39"/>
  <c r="K11" i="39"/>
  <c r="J11" i="39"/>
  <c r="N11" i="39"/>
  <c r="I11" i="39"/>
  <c r="M11" i="39"/>
  <c r="H11" i="39"/>
  <c r="L11" i="39"/>
  <c r="L112" i="39"/>
  <c r="M112" i="39"/>
  <c r="I112" i="39"/>
  <c r="N112" i="39"/>
  <c r="J112" i="39"/>
  <c r="K112" i="39"/>
  <c r="N111" i="39"/>
  <c r="J111" i="39"/>
  <c r="K111" i="39"/>
  <c r="L111" i="39"/>
  <c r="M111" i="39"/>
  <c r="I111" i="39"/>
  <c r="L110" i="39"/>
  <c r="M110" i="39"/>
  <c r="I110" i="39"/>
  <c r="N110" i="39"/>
  <c r="J110" i="39"/>
  <c r="K110" i="39"/>
  <c r="O150" i="39"/>
  <c r="N128" i="45"/>
  <c r="N49" i="44"/>
  <c r="N20" i="44"/>
  <c r="N40" i="46"/>
  <c r="N134" i="46"/>
  <c r="N109" i="39"/>
  <c r="N87" i="45"/>
  <c r="N78" i="46"/>
  <c r="N57" i="46"/>
  <c r="M32" i="45"/>
  <c r="J32" i="43"/>
  <c r="N32" i="44"/>
  <c r="I32" i="45"/>
  <c r="I32" i="43"/>
  <c r="L32" i="44"/>
  <c r="H32" i="46"/>
  <c r="O58" i="43"/>
  <c r="K63" i="43"/>
  <c r="K63" i="45"/>
  <c r="I63" i="46"/>
  <c r="O66" i="43"/>
  <c r="I71" i="43"/>
  <c r="K71" i="46"/>
  <c r="O92" i="43"/>
  <c r="N94" i="43"/>
  <c r="O98" i="43"/>
  <c r="J108" i="43"/>
  <c r="J107" i="43"/>
  <c r="N108" i="43"/>
  <c r="N107" i="43"/>
  <c r="L108" i="44"/>
  <c r="L107" i="44"/>
  <c r="L108" i="45"/>
  <c r="L107" i="45"/>
  <c r="K56" i="46"/>
  <c r="O111" i="43"/>
  <c r="L126" i="46"/>
  <c r="L125" i="46"/>
  <c r="O142" i="43"/>
  <c r="O13" i="43"/>
  <c r="O13" i="45"/>
  <c r="O39" i="43"/>
  <c r="O39" i="45"/>
  <c r="O42" i="43"/>
  <c r="O44" i="45"/>
  <c r="O59" i="45"/>
  <c r="O65" i="43"/>
  <c r="M77" i="43"/>
  <c r="N86" i="45"/>
  <c r="I17" i="45"/>
  <c r="M47" i="44"/>
  <c r="O52" i="45"/>
  <c r="K80" i="44"/>
  <c r="O85" i="44"/>
  <c r="M126" i="44"/>
  <c r="M125" i="44"/>
  <c r="O58" i="46"/>
  <c r="O62" i="43"/>
  <c r="N63" i="46"/>
  <c r="O68" i="44"/>
  <c r="M71" i="43"/>
  <c r="K71" i="44"/>
  <c r="N71" i="44"/>
  <c r="J71" i="45"/>
  <c r="O74" i="44"/>
  <c r="O74" i="45"/>
  <c r="M77" i="44"/>
  <c r="O79" i="45"/>
  <c r="O84" i="45"/>
  <c r="O112" i="43"/>
  <c r="O112" i="45"/>
  <c r="K126" i="44"/>
  <c r="K125" i="44"/>
  <c r="O136" i="43"/>
  <c r="O142" i="45"/>
  <c r="O11" i="46"/>
  <c r="O34" i="44"/>
  <c r="O44" i="44"/>
  <c r="O61" i="45"/>
  <c r="O67" i="45"/>
  <c r="O73" i="45"/>
  <c r="I77" i="43"/>
  <c r="O50" i="44"/>
  <c r="O128" i="44"/>
  <c r="H138" i="44"/>
  <c r="O68" i="45"/>
  <c r="O92" i="46"/>
  <c r="K77" i="44"/>
  <c r="N77" i="46"/>
  <c r="K17" i="46"/>
  <c r="I86" i="46"/>
  <c r="M138" i="46"/>
  <c r="O14" i="46"/>
  <c r="O24" i="46"/>
  <c r="M37" i="46"/>
  <c r="O41" i="46"/>
  <c r="O43" i="46"/>
  <c r="N108" i="46"/>
  <c r="N107" i="46"/>
  <c r="L77" i="46"/>
  <c r="M47" i="46"/>
  <c r="I108" i="46"/>
  <c r="I107" i="46"/>
  <c r="N56" i="46"/>
  <c r="O82" i="46"/>
  <c r="J86" i="46"/>
  <c r="O137" i="46"/>
  <c r="N138" i="46"/>
  <c r="L37" i="46"/>
  <c r="O51" i="46"/>
  <c r="J90" i="46"/>
  <c r="L119" i="46"/>
  <c r="I119" i="46"/>
  <c r="K132" i="46"/>
  <c r="L29" i="46"/>
  <c r="L28" i="46"/>
  <c r="L26" i="46"/>
  <c r="L17" i="45"/>
  <c r="O50" i="45"/>
  <c r="K108" i="45"/>
  <c r="K107" i="45"/>
  <c r="O40" i="45"/>
  <c r="J126" i="45"/>
  <c r="J125" i="45"/>
  <c r="M17" i="45"/>
  <c r="O135" i="45"/>
  <c r="L138" i="45"/>
  <c r="K138" i="45"/>
  <c r="O24" i="45"/>
  <c r="K37" i="45"/>
  <c r="M37" i="45"/>
  <c r="N77" i="45"/>
  <c r="J94" i="45"/>
  <c r="I108" i="45"/>
  <c r="I107" i="45"/>
  <c r="L86" i="45"/>
  <c r="O143" i="45"/>
  <c r="J37" i="45"/>
  <c r="O43" i="45"/>
  <c r="O20" i="45"/>
  <c r="O53" i="45"/>
  <c r="M56" i="45"/>
  <c r="J77" i="45"/>
  <c r="L90" i="45"/>
  <c r="O99" i="45"/>
  <c r="N119" i="45"/>
  <c r="M132" i="45"/>
  <c r="I9" i="45"/>
  <c r="I8" i="45"/>
  <c r="I29" i="45"/>
  <c r="M17" i="44"/>
  <c r="I86" i="44"/>
  <c r="O21" i="44"/>
  <c r="K29" i="44"/>
  <c r="K28" i="44"/>
  <c r="K26" i="44"/>
  <c r="O51" i="44"/>
  <c r="H56" i="44"/>
  <c r="I56" i="44"/>
  <c r="O69" i="44"/>
  <c r="K94" i="44"/>
  <c r="N126" i="44"/>
  <c r="N125" i="44"/>
  <c r="O133" i="44"/>
  <c r="N29" i="44"/>
  <c r="M29" i="44"/>
  <c r="M138" i="44"/>
  <c r="H37" i="44"/>
  <c r="L56" i="44"/>
  <c r="M63" i="44"/>
  <c r="M71" i="44"/>
  <c r="J94" i="44"/>
  <c r="H80" i="44"/>
  <c r="O110" i="44"/>
  <c r="J126" i="44"/>
  <c r="J125" i="44"/>
  <c r="O142" i="44"/>
  <c r="N63" i="44"/>
  <c r="O65" i="44"/>
  <c r="M90" i="44"/>
  <c r="K119" i="44"/>
  <c r="O23" i="44"/>
  <c r="M126" i="43"/>
  <c r="M125" i="43"/>
  <c r="J17" i="43"/>
  <c r="O52" i="43"/>
  <c r="I126" i="43"/>
  <c r="I125" i="43"/>
  <c r="O85" i="43"/>
  <c r="O88" i="43"/>
  <c r="N90" i="43"/>
  <c r="J90" i="43"/>
  <c r="O97" i="43"/>
  <c r="N119" i="43"/>
  <c r="L132" i="43"/>
  <c r="M29" i="43"/>
  <c r="M28" i="43"/>
  <c r="M26" i="43"/>
  <c r="K17" i="43"/>
  <c r="J138" i="43"/>
  <c r="N138" i="43"/>
  <c r="O12" i="43"/>
  <c r="O24" i="43"/>
  <c r="O31" i="43"/>
  <c r="L37" i="43"/>
  <c r="O49" i="43"/>
  <c r="H17" i="46"/>
  <c r="O18" i="46"/>
  <c r="H86" i="43"/>
  <c r="O87" i="43"/>
  <c r="O141" i="45"/>
  <c r="H138" i="45"/>
  <c r="O33" i="46"/>
  <c r="O34" i="46"/>
  <c r="O32" i="46"/>
  <c r="H114" i="44"/>
  <c r="O115" i="44"/>
  <c r="O114" i="44"/>
  <c r="O134" i="44"/>
  <c r="H132" i="44"/>
  <c r="O57" i="45"/>
  <c r="H56" i="45"/>
  <c r="H45" i="44"/>
  <c r="O46" i="44"/>
  <c r="O45" i="44"/>
  <c r="O48" i="43"/>
  <c r="H47" i="43"/>
  <c r="O91" i="44"/>
  <c r="H90" i="44"/>
  <c r="H103" i="44"/>
  <c r="H103" i="45"/>
  <c r="H116" i="43"/>
  <c r="O117" i="43"/>
  <c r="O116" i="43"/>
  <c r="H116" i="45"/>
  <c r="O117" i="45"/>
  <c r="O116" i="45"/>
  <c r="H29" i="45"/>
  <c r="O30" i="45"/>
  <c r="O18" i="45"/>
  <c r="H17" i="45"/>
  <c r="O38" i="46"/>
  <c r="I37" i="46"/>
  <c r="O109" i="44"/>
  <c r="H108" i="44"/>
  <c r="O109" i="45"/>
  <c r="H108" i="45"/>
  <c r="H114" i="46"/>
  <c r="O115" i="46"/>
  <c r="O114" i="46"/>
  <c r="O81" i="45"/>
  <c r="H80" i="45"/>
  <c r="O127" i="45"/>
  <c r="H126" i="45"/>
  <c r="H125" i="45"/>
  <c r="H126" i="46"/>
  <c r="H125" i="46"/>
  <c r="O127" i="46"/>
  <c r="H45" i="46"/>
  <c r="O46" i="46"/>
  <c r="O45" i="46"/>
  <c r="H77" i="44"/>
  <c r="O78" i="44"/>
  <c r="O78" i="46"/>
  <c r="H77" i="46"/>
  <c r="H90" i="45"/>
  <c r="O91" i="45"/>
  <c r="O90" i="45"/>
  <c r="O117" i="46"/>
  <c r="O116" i="46"/>
  <c r="I116" i="46"/>
  <c r="H119" i="46"/>
  <c r="H9" i="44"/>
  <c r="H8" i="44"/>
  <c r="O10" i="44"/>
  <c r="O10" i="45"/>
  <c r="H9" i="45"/>
  <c r="H8" i="45"/>
  <c r="O87" i="46"/>
  <c r="O86" i="46"/>
  <c r="H86" i="46"/>
  <c r="I138" i="44"/>
  <c r="O139" i="44"/>
  <c r="O139" i="45"/>
  <c r="I138" i="45"/>
  <c r="O38" i="44"/>
  <c r="J37" i="44"/>
  <c r="O72" i="46"/>
  <c r="J71" i="46"/>
  <c r="O109" i="43"/>
  <c r="H108" i="43"/>
  <c r="H108" i="46"/>
  <c r="H107" i="46"/>
  <c r="O109" i="46"/>
  <c r="H132" i="45"/>
  <c r="O134" i="45"/>
  <c r="O134" i="46"/>
  <c r="H132" i="46"/>
  <c r="O57" i="44"/>
  <c r="J56" i="44"/>
  <c r="O57" i="46"/>
  <c r="H56" i="46"/>
  <c r="O81" i="46"/>
  <c r="H80" i="46"/>
  <c r="O127" i="44"/>
  <c r="H126" i="44"/>
  <c r="H125" i="44"/>
  <c r="H77" i="45"/>
  <c r="O78" i="45"/>
  <c r="O91" i="46"/>
  <c r="H90" i="46"/>
  <c r="J103" i="46"/>
  <c r="O117" i="44"/>
  <c r="O116" i="44"/>
  <c r="J116" i="44"/>
  <c r="H119" i="45"/>
  <c r="O133" i="43"/>
  <c r="J132" i="43"/>
  <c r="H9" i="43"/>
  <c r="H8" i="43"/>
  <c r="O10" i="43"/>
  <c r="H29" i="43"/>
  <c r="O30" i="43"/>
  <c r="N20" i="45"/>
  <c r="N17" i="45"/>
  <c r="L56" i="43"/>
  <c r="J80" i="43"/>
  <c r="L80" i="45"/>
  <c r="J108" i="44"/>
  <c r="J107" i="44"/>
  <c r="N126" i="45"/>
  <c r="N125" i="45"/>
  <c r="L37" i="44"/>
  <c r="N47" i="45"/>
  <c r="L71" i="44"/>
  <c r="L77" i="44"/>
  <c r="K77" i="45"/>
  <c r="L86" i="44"/>
  <c r="I119" i="44"/>
  <c r="J9" i="43"/>
  <c r="J8" i="43"/>
  <c r="N9" i="43"/>
  <c r="N8" i="43"/>
  <c r="L9" i="44"/>
  <c r="L8" i="44"/>
  <c r="K9" i="45"/>
  <c r="K8" i="45"/>
  <c r="K29" i="43"/>
  <c r="K28" i="43"/>
  <c r="K26" i="43"/>
  <c r="J17" i="44"/>
  <c r="I17" i="46"/>
  <c r="I47" i="44"/>
  <c r="N87" i="43"/>
  <c r="N86" i="43"/>
  <c r="N87" i="44"/>
  <c r="N86" i="44"/>
  <c r="I86" i="45"/>
  <c r="L86" i="46"/>
  <c r="O128" i="45"/>
  <c r="L138" i="43"/>
  <c r="K9" i="44"/>
  <c r="K8" i="44"/>
  <c r="N223" i="45"/>
  <c r="P223" i="45"/>
  <c r="N37" i="43"/>
  <c r="I37" i="45"/>
  <c r="O41" i="44"/>
  <c r="L47" i="44"/>
  <c r="O58" i="44"/>
  <c r="M63" i="43"/>
  <c r="I63" i="45"/>
  <c r="K63" i="46"/>
  <c r="K63" i="44"/>
  <c r="I71" i="46"/>
  <c r="K94" i="46"/>
  <c r="O20" i="44"/>
  <c r="O40" i="44"/>
  <c r="N40" i="45"/>
  <c r="N37" i="45"/>
  <c r="O51" i="45"/>
  <c r="N56" i="43"/>
  <c r="K56" i="44"/>
  <c r="N56" i="44"/>
  <c r="N56" i="45"/>
  <c r="I56" i="45"/>
  <c r="L56" i="46"/>
  <c r="K80" i="43"/>
  <c r="M80" i="44"/>
  <c r="L80" i="46"/>
  <c r="M126" i="46"/>
  <c r="M125" i="46"/>
  <c r="N138" i="44"/>
  <c r="O11" i="45"/>
  <c r="K47" i="44"/>
  <c r="J47" i="45"/>
  <c r="L47" i="46"/>
  <c r="L63" i="44"/>
  <c r="L77" i="45"/>
  <c r="K90" i="43"/>
  <c r="L90" i="46"/>
  <c r="L119" i="45"/>
  <c r="O129" i="45"/>
  <c r="J132" i="45"/>
  <c r="M132" i="46"/>
  <c r="L132" i="46"/>
  <c r="L9" i="43"/>
  <c r="L8" i="43"/>
  <c r="I9" i="44"/>
  <c r="I8" i="44"/>
  <c r="N9" i="45"/>
  <c r="N8" i="45"/>
  <c r="K9" i="46"/>
  <c r="K8" i="46"/>
  <c r="N9" i="46"/>
  <c r="N8" i="46"/>
  <c r="O23" i="46"/>
  <c r="L29" i="43"/>
  <c r="L28" i="43"/>
  <c r="L26" i="43"/>
  <c r="I29" i="44"/>
  <c r="M29" i="45"/>
  <c r="K29" i="45"/>
  <c r="M17" i="43"/>
  <c r="L17" i="43"/>
  <c r="K17" i="45"/>
  <c r="L17" i="46"/>
  <c r="O50" i="43"/>
  <c r="O52" i="44"/>
  <c r="O82" i="43"/>
  <c r="O82" i="44"/>
  <c r="O85" i="45"/>
  <c r="M86" i="43"/>
  <c r="J86" i="44"/>
  <c r="J86" i="45"/>
  <c r="N87" i="46"/>
  <c r="N86" i="46"/>
  <c r="O128" i="43"/>
  <c r="I126" i="44"/>
  <c r="I125" i="44"/>
  <c r="O128" i="46"/>
  <c r="O135" i="43"/>
  <c r="O135" i="46"/>
  <c r="O137" i="44"/>
  <c r="O137" i="45"/>
  <c r="K138" i="43"/>
  <c r="N138" i="45"/>
  <c r="J138" i="46"/>
  <c r="O141" i="44"/>
  <c r="O141" i="46"/>
  <c r="H138" i="46"/>
  <c r="O143" i="43"/>
  <c r="O143" i="46"/>
  <c r="O12" i="46"/>
  <c r="N223" i="43"/>
  <c r="O21" i="43"/>
  <c r="O21" i="45"/>
  <c r="O21" i="46"/>
  <c r="O31" i="44"/>
  <c r="O31" i="46"/>
  <c r="J37" i="43"/>
  <c r="M37" i="43"/>
  <c r="L37" i="45"/>
  <c r="N37" i="46"/>
  <c r="H37" i="46"/>
  <c r="N49" i="43"/>
  <c r="N47" i="43"/>
  <c r="O49" i="45"/>
  <c r="O58" i="45"/>
  <c r="O60" i="46"/>
  <c r="O62" i="44"/>
  <c r="I63" i="43"/>
  <c r="L63" i="43"/>
  <c r="M63" i="45"/>
  <c r="N63" i="45"/>
  <c r="L63" i="46"/>
  <c r="J63" i="46"/>
  <c r="O66" i="44"/>
  <c r="K71" i="43"/>
  <c r="N71" i="43"/>
  <c r="J71" i="44"/>
  <c r="K71" i="45"/>
  <c r="N71" i="45"/>
  <c r="H71" i="46"/>
  <c r="O74" i="43"/>
  <c r="O92" i="44"/>
  <c r="I94" i="43"/>
  <c r="L94" i="43"/>
  <c r="I94" i="44"/>
  <c r="N94" i="45"/>
  <c r="M94" i="45"/>
  <c r="M94" i="46"/>
  <c r="L94" i="46"/>
  <c r="O98" i="44"/>
  <c r="K108" i="43"/>
  <c r="K107" i="43"/>
  <c r="M108" i="44"/>
  <c r="M107" i="44"/>
  <c r="M108" i="45"/>
  <c r="M107" i="45"/>
  <c r="N109" i="45"/>
  <c r="N108" i="45"/>
  <c r="N107" i="45"/>
  <c r="J108" i="46"/>
  <c r="J107" i="46"/>
  <c r="N134" i="43"/>
  <c r="N132" i="43"/>
  <c r="N131" i="43"/>
  <c r="L132" i="44"/>
  <c r="N20" i="43"/>
  <c r="N17" i="43"/>
  <c r="N20" i="46"/>
  <c r="N17" i="46"/>
  <c r="O40" i="43"/>
  <c r="N40" i="44"/>
  <c r="N37" i="44"/>
  <c r="O40" i="46"/>
  <c r="O53" i="44"/>
  <c r="O53" i="46"/>
  <c r="J56" i="43"/>
  <c r="M56" i="43"/>
  <c r="K56" i="45"/>
  <c r="J56" i="45"/>
  <c r="O79" i="43"/>
  <c r="O79" i="46"/>
  <c r="M80" i="43"/>
  <c r="L80" i="43"/>
  <c r="I80" i="44"/>
  <c r="J80" i="45"/>
  <c r="I80" i="45"/>
  <c r="I80" i="46"/>
  <c r="O110" i="46"/>
  <c r="O111" i="44"/>
  <c r="K126" i="43"/>
  <c r="K125" i="43"/>
  <c r="N126" i="43"/>
  <c r="N125" i="43"/>
  <c r="L126" i="45"/>
  <c r="L125" i="45"/>
  <c r="M126" i="45"/>
  <c r="M125" i="45"/>
  <c r="N126" i="46"/>
  <c r="N125" i="46"/>
  <c r="I126" i="46"/>
  <c r="I125" i="46"/>
  <c r="O136" i="44"/>
  <c r="O136" i="46"/>
  <c r="O140" i="43"/>
  <c r="O140" i="44"/>
  <c r="L138" i="44"/>
  <c r="O144" i="43"/>
  <c r="O144" i="44"/>
  <c r="J9" i="44"/>
  <c r="J8" i="44"/>
  <c r="O34" i="43"/>
  <c r="O34" i="45"/>
  <c r="O42" i="44"/>
  <c r="O44" i="43"/>
  <c r="J47" i="43"/>
  <c r="M47" i="43"/>
  <c r="J47" i="44"/>
  <c r="K47" i="45"/>
  <c r="L47" i="45"/>
  <c r="N47" i="46"/>
  <c r="H47" i="46"/>
  <c r="O59" i="43"/>
  <c r="O59" i="46"/>
  <c r="O61" i="43"/>
  <c r="O61" i="44"/>
  <c r="O65" i="46"/>
  <c r="O67" i="46"/>
  <c r="O69" i="46"/>
  <c r="O73" i="43"/>
  <c r="O75" i="44"/>
  <c r="K77" i="43"/>
  <c r="N78" i="43"/>
  <c r="N77" i="43"/>
  <c r="M77" i="45"/>
  <c r="J77" i="46"/>
  <c r="I77" i="46"/>
  <c r="O88" i="44"/>
  <c r="M90" i="43"/>
  <c r="L90" i="43"/>
  <c r="I90" i="44"/>
  <c r="N90" i="45"/>
  <c r="I90" i="45"/>
  <c r="M90" i="46"/>
  <c r="O97" i="44"/>
  <c r="O99" i="43"/>
  <c r="O99" i="44"/>
  <c r="O99" i="46"/>
  <c r="O113" i="44"/>
  <c r="L119" i="44"/>
  <c r="M119" i="45"/>
  <c r="M119" i="44"/>
  <c r="M132" i="43"/>
  <c r="J132" i="44"/>
  <c r="K132" i="45"/>
  <c r="L132" i="45"/>
  <c r="N132" i="46"/>
  <c r="K9" i="43"/>
  <c r="K8" i="43"/>
  <c r="M9" i="44"/>
  <c r="M8" i="44"/>
  <c r="L9" i="45"/>
  <c r="L8" i="45"/>
  <c r="J9" i="45"/>
  <c r="J8" i="45"/>
  <c r="L9" i="46"/>
  <c r="L8" i="46"/>
  <c r="J9" i="46"/>
  <c r="J8" i="46"/>
  <c r="O23" i="45"/>
  <c r="I29" i="43"/>
  <c r="J29" i="44"/>
  <c r="J28" i="44"/>
  <c r="J26" i="44"/>
  <c r="L29" i="44"/>
  <c r="L28" i="44"/>
  <c r="L26" i="44"/>
  <c r="J29" i="45"/>
  <c r="J28" i="45"/>
  <c r="J26" i="45"/>
  <c r="I29" i="46"/>
  <c r="J29" i="46"/>
  <c r="J28" i="46"/>
  <c r="J26" i="46"/>
  <c r="H17" i="44"/>
  <c r="O18" i="44"/>
  <c r="O87" i="45"/>
  <c r="H86" i="45"/>
  <c r="H138" i="43"/>
  <c r="O141" i="43"/>
  <c r="O38" i="43"/>
  <c r="H37" i="43"/>
  <c r="O64" i="45"/>
  <c r="H63" i="45"/>
  <c r="H71" i="45"/>
  <c r="O72" i="45"/>
  <c r="O96" i="44"/>
  <c r="H94" i="44"/>
  <c r="H132" i="43"/>
  <c r="O134" i="43"/>
  <c r="H56" i="43"/>
  <c r="O57" i="43"/>
  <c r="O81" i="44"/>
  <c r="J80" i="44"/>
  <c r="O48" i="44"/>
  <c r="H47" i="44"/>
  <c r="O78" i="43"/>
  <c r="O77" i="43"/>
  <c r="H77" i="43"/>
  <c r="H103" i="43"/>
  <c r="H119" i="43"/>
  <c r="H86" i="44"/>
  <c r="O87" i="44"/>
  <c r="O139" i="46"/>
  <c r="I138" i="46"/>
  <c r="O33" i="45"/>
  <c r="O32" i="45"/>
  <c r="H63" i="44"/>
  <c r="O64" i="44"/>
  <c r="O96" i="45"/>
  <c r="H94" i="45"/>
  <c r="O96" i="46"/>
  <c r="H94" i="46"/>
  <c r="H114" i="45"/>
  <c r="O115" i="45"/>
  <c r="O114" i="45"/>
  <c r="H45" i="45"/>
  <c r="O46" i="45"/>
  <c r="O45" i="45"/>
  <c r="O48" i="46"/>
  <c r="J47" i="46"/>
  <c r="I132" i="45"/>
  <c r="O133" i="45"/>
  <c r="H17" i="43"/>
  <c r="O18" i="43"/>
  <c r="O139" i="43"/>
  <c r="I138" i="43"/>
  <c r="O33" i="43"/>
  <c r="O33" i="44"/>
  <c r="H37" i="45"/>
  <c r="O38" i="45"/>
  <c r="H63" i="43"/>
  <c r="O64" i="43"/>
  <c r="H63" i="46"/>
  <c r="O64" i="46"/>
  <c r="O72" i="43"/>
  <c r="H71" i="43"/>
  <c r="H71" i="44"/>
  <c r="O72" i="44"/>
  <c r="O96" i="43"/>
  <c r="H94" i="43"/>
  <c r="H114" i="43"/>
  <c r="O115" i="43"/>
  <c r="O114" i="43"/>
  <c r="H80" i="43"/>
  <c r="O81" i="43"/>
  <c r="O127" i="43"/>
  <c r="H126" i="43"/>
  <c r="H125" i="43"/>
  <c r="H45" i="43"/>
  <c r="O46" i="43"/>
  <c r="O45" i="43"/>
  <c r="O48" i="45"/>
  <c r="H47" i="45"/>
  <c r="O91" i="43"/>
  <c r="H90" i="43"/>
  <c r="H119" i="44"/>
  <c r="O133" i="46"/>
  <c r="J132" i="46"/>
  <c r="O10" i="46"/>
  <c r="H9" i="46"/>
  <c r="H8" i="46"/>
  <c r="H29" i="44"/>
  <c r="O30" i="44"/>
  <c r="H29" i="46"/>
  <c r="O30" i="46"/>
  <c r="N17" i="44"/>
  <c r="L17" i="44"/>
  <c r="N80" i="43"/>
  <c r="M80" i="45"/>
  <c r="J80" i="46"/>
  <c r="K126" i="45"/>
  <c r="K125" i="45"/>
  <c r="O11" i="44"/>
  <c r="L47" i="43"/>
  <c r="M47" i="45"/>
  <c r="J77" i="44"/>
  <c r="M90" i="45"/>
  <c r="N132" i="45"/>
  <c r="I9" i="46"/>
  <c r="I8" i="46"/>
  <c r="O135" i="44"/>
  <c r="M138" i="45"/>
  <c r="M131" i="45"/>
  <c r="K37" i="44"/>
  <c r="O41" i="45"/>
  <c r="O43" i="44"/>
  <c r="L63" i="45"/>
  <c r="I71" i="45"/>
  <c r="L71" i="46"/>
  <c r="I71" i="44"/>
  <c r="M94" i="43"/>
  <c r="M94" i="44"/>
  <c r="O98" i="45"/>
  <c r="L108" i="43"/>
  <c r="L107" i="43"/>
  <c r="K108" i="46"/>
  <c r="K107" i="46"/>
  <c r="M37" i="44"/>
  <c r="M56" i="46"/>
  <c r="N80" i="44"/>
  <c r="N80" i="45"/>
  <c r="K80" i="46"/>
  <c r="O13" i="44"/>
  <c r="O39" i="44"/>
  <c r="N47" i="44"/>
  <c r="I47" i="45"/>
  <c r="M56" i="44"/>
  <c r="J63" i="44"/>
  <c r="O65" i="45"/>
  <c r="O88" i="45"/>
  <c r="N90" i="44"/>
  <c r="K90" i="46"/>
  <c r="N29" i="46"/>
  <c r="I17" i="43"/>
  <c r="K17" i="44"/>
  <c r="J17" i="45"/>
  <c r="M17" i="46"/>
  <c r="J17" i="46"/>
  <c r="O50" i="46"/>
  <c r="O52" i="46"/>
  <c r="O85" i="46"/>
  <c r="I86" i="43"/>
  <c r="K86" i="44"/>
  <c r="M86" i="44"/>
  <c r="M86" i="46"/>
  <c r="I132" i="44"/>
  <c r="O137" i="43"/>
  <c r="M138" i="43"/>
  <c r="J138" i="45"/>
  <c r="L138" i="46"/>
  <c r="K138" i="46"/>
  <c r="K138" i="44"/>
  <c r="O143" i="44"/>
  <c r="O12" i="44"/>
  <c r="O12" i="45"/>
  <c r="O14" i="43"/>
  <c r="O14" i="44"/>
  <c r="O14" i="45"/>
  <c r="N223" i="46"/>
  <c r="P223" i="46"/>
  <c r="I17" i="44"/>
  <c r="O24" i="44"/>
  <c r="O31" i="45"/>
  <c r="K29" i="46"/>
  <c r="K37" i="43"/>
  <c r="I37" i="43"/>
  <c r="J37" i="46"/>
  <c r="K37" i="46"/>
  <c r="O41" i="43"/>
  <c r="O43" i="43"/>
  <c r="O49" i="44"/>
  <c r="O60" i="43"/>
  <c r="O62" i="45"/>
  <c r="J63" i="43"/>
  <c r="I63" i="44"/>
  <c r="J63" i="45"/>
  <c r="M63" i="46"/>
  <c r="O66" i="46"/>
  <c r="O68" i="43"/>
  <c r="J71" i="43"/>
  <c r="L71" i="45"/>
  <c r="N71" i="46"/>
  <c r="M71" i="46"/>
  <c r="O74" i="46"/>
  <c r="K90" i="44"/>
  <c r="J94" i="43"/>
  <c r="N94" i="44"/>
  <c r="L94" i="44"/>
  <c r="K94" i="45"/>
  <c r="I94" i="46"/>
  <c r="N94" i="46"/>
  <c r="I108" i="43"/>
  <c r="I107" i="43"/>
  <c r="M108" i="43"/>
  <c r="M107" i="43"/>
  <c r="I108" i="44"/>
  <c r="I107" i="44"/>
  <c r="J108" i="45"/>
  <c r="J107" i="45"/>
  <c r="L108" i="46"/>
  <c r="L107" i="46"/>
  <c r="M108" i="46"/>
  <c r="M107" i="46"/>
  <c r="N134" i="44"/>
  <c r="N132" i="44"/>
  <c r="O20" i="43"/>
  <c r="I37" i="44"/>
  <c r="O51" i="43"/>
  <c r="N223" i="44"/>
  <c r="P223" i="44"/>
  <c r="K56" i="43"/>
  <c r="I56" i="43"/>
  <c r="L56" i="45"/>
  <c r="J56" i="46"/>
  <c r="I56" i="46"/>
  <c r="O79" i="44"/>
  <c r="M77" i="46"/>
  <c r="I80" i="43"/>
  <c r="L80" i="44"/>
  <c r="K80" i="45"/>
  <c r="M80" i="46"/>
  <c r="N80" i="46"/>
  <c r="O84" i="43"/>
  <c r="O84" i="44"/>
  <c r="O110" i="43"/>
  <c r="O113" i="43"/>
  <c r="O108" i="43"/>
  <c r="N108" i="44"/>
  <c r="N107" i="44"/>
  <c r="K108" i="44"/>
  <c r="K107" i="44"/>
  <c r="O112" i="44"/>
  <c r="J126" i="43"/>
  <c r="J125" i="43"/>
  <c r="L126" i="44"/>
  <c r="L125" i="44"/>
  <c r="I126" i="45"/>
  <c r="I125" i="45"/>
  <c r="K126" i="46"/>
  <c r="K125" i="46"/>
  <c r="J126" i="46"/>
  <c r="J125" i="46"/>
  <c r="J138" i="44"/>
  <c r="O140" i="46"/>
  <c r="O144" i="46"/>
  <c r="O11" i="43"/>
  <c r="N9" i="44"/>
  <c r="N8" i="44"/>
  <c r="M28" i="46"/>
  <c r="M26" i="46"/>
  <c r="O42" i="46"/>
  <c r="O44" i="46"/>
  <c r="K47" i="43"/>
  <c r="I47" i="43"/>
  <c r="I47" i="46"/>
  <c r="K47" i="46"/>
  <c r="O59" i="44"/>
  <c r="O67" i="43"/>
  <c r="O69" i="43"/>
  <c r="O73" i="44"/>
  <c r="O75" i="43"/>
  <c r="O75" i="46"/>
  <c r="L77" i="43"/>
  <c r="J77" i="43"/>
  <c r="I77" i="44"/>
  <c r="N78" i="44"/>
  <c r="N77" i="44"/>
  <c r="I77" i="45"/>
  <c r="K77" i="46"/>
  <c r="I90" i="43"/>
  <c r="J90" i="44"/>
  <c r="L90" i="44"/>
  <c r="K90" i="45"/>
  <c r="I90" i="46"/>
  <c r="N90" i="46"/>
  <c r="O97" i="45"/>
  <c r="O97" i="46"/>
  <c r="L119" i="43"/>
  <c r="J119" i="43"/>
  <c r="I119" i="45"/>
  <c r="K119" i="46"/>
  <c r="N119" i="46"/>
  <c r="M119" i="46"/>
  <c r="O129" i="43"/>
  <c r="O129" i="44"/>
  <c r="K132" i="43"/>
  <c r="K131" i="43"/>
  <c r="I132" i="43"/>
  <c r="K132" i="44"/>
  <c r="M132" i="44"/>
  <c r="I132" i="46"/>
  <c r="I9" i="43"/>
  <c r="I8" i="43"/>
  <c r="M9" i="43"/>
  <c r="M8" i="43"/>
  <c r="M9" i="45"/>
  <c r="M8" i="45"/>
  <c r="M9" i="46"/>
  <c r="M8" i="46"/>
  <c r="O23" i="43"/>
  <c r="N29" i="43"/>
  <c r="J29" i="43"/>
  <c r="N29" i="45"/>
  <c r="L29" i="45"/>
  <c r="O12" i="39"/>
  <c r="I108" i="39"/>
  <c r="O13" i="39"/>
  <c r="O10" i="39"/>
  <c r="O14" i="39"/>
  <c r="O112" i="39"/>
  <c r="O11" i="39"/>
  <c r="M7" i="43"/>
  <c r="O32" i="43"/>
  <c r="M131" i="46"/>
  <c r="L131" i="43"/>
  <c r="K131" i="45"/>
  <c r="O32" i="44"/>
  <c r="N28" i="44"/>
  <c r="N26" i="44"/>
  <c r="N7" i="44"/>
  <c r="L28" i="45"/>
  <c r="L26" i="45"/>
  <c r="N131" i="46"/>
  <c r="K131" i="46"/>
  <c r="N131" i="44"/>
  <c r="H131" i="44"/>
  <c r="O71" i="44"/>
  <c r="O86" i="44"/>
  <c r="J131" i="44"/>
  <c r="O138" i="45"/>
  <c r="O108" i="45"/>
  <c r="O71" i="45"/>
  <c r="J101" i="45"/>
  <c r="O90" i="46"/>
  <c r="L70" i="43"/>
  <c r="L36" i="43"/>
  <c r="K101" i="46"/>
  <c r="N131" i="45"/>
  <c r="M70" i="45"/>
  <c r="M36" i="45"/>
  <c r="O132" i="46"/>
  <c r="O90" i="43"/>
  <c r="H107" i="43"/>
  <c r="M131" i="44"/>
  <c r="I28" i="45"/>
  <c r="I26" i="45"/>
  <c r="I7" i="45"/>
  <c r="N28" i="46"/>
  <c r="N26" i="46"/>
  <c r="L131" i="45"/>
  <c r="O37" i="46"/>
  <c r="I28" i="44"/>
  <c r="I26" i="44"/>
  <c r="I7" i="44"/>
  <c r="K7" i="44"/>
  <c r="N28" i="45"/>
  <c r="N26" i="45"/>
  <c r="N7" i="45"/>
  <c r="J101" i="43"/>
  <c r="I101" i="43"/>
  <c r="I70" i="43"/>
  <c r="I131" i="44"/>
  <c r="I28" i="43"/>
  <c r="I26" i="43"/>
  <c r="I7" i="43"/>
  <c r="M70" i="43"/>
  <c r="M36" i="43"/>
  <c r="M28" i="45"/>
  <c r="M26" i="45"/>
  <c r="M7" i="45"/>
  <c r="O77" i="45"/>
  <c r="O86" i="43"/>
  <c r="M28" i="44"/>
  <c r="M26" i="44"/>
  <c r="M101" i="46"/>
  <c r="J131" i="46"/>
  <c r="I101" i="46"/>
  <c r="H101" i="46"/>
  <c r="O17" i="46"/>
  <c r="I131" i="46"/>
  <c r="L101" i="46"/>
  <c r="O71" i="46"/>
  <c r="O29" i="46"/>
  <c r="H28" i="46"/>
  <c r="H26" i="46"/>
  <c r="H7" i="46"/>
  <c r="J70" i="45"/>
  <c r="J36" i="45"/>
  <c r="M101" i="45"/>
  <c r="K70" i="45"/>
  <c r="K36" i="45"/>
  <c r="I70" i="45"/>
  <c r="I36" i="45"/>
  <c r="O37" i="45"/>
  <c r="H28" i="45"/>
  <c r="H26" i="45"/>
  <c r="H7" i="45"/>
  <c r="K101" i="45"/>
  <c r="I101" i="45"/>
  <c r="N101" i="45"/>
  <c r="H107" i="45"/>
  <c r="K101" i="44"/>
  <c r="N70" i="44"/>
  <c r="N36" i="44"/>
  <c r="O108" i="44"/>
  <c r="O107" i="44"/>
  <c r="K70" i="44"/>
  <c r="K36" i="44"/>
  <c r="N101" i="44"/>
  <c r="O126" i="44"/>
  <c r="O125" i="44"/>
  <c r="O132" i="44"/>
  <c r="O29" i="44"/>
  <c r="O28" i="44"/>
  <c r="O26" i="44"/>
  <c r="J70" i="44"/>
  <c r="K131" i="44"/>
  <c r="M101" i="44"/>
  <c r="O94" i="44"/>
  <c r="I131" i="43"/>
  <c r="O107" i="43"/>
  <c r="M101" i="43"/>
  <c r="K101" i="43"/>
  <c r="O80" i="43"/>
  <c r="H28" i="43"/>
  <c r="H26" i="43"/>
  <c r="H7" i="43"/>
  <c r="O17" i="43"/>
  <c r="K7" i="43"/>
  <c r="O37" i="43"/>
  <c r="O29" i="43"/>
  <c r="J131" i="43"/>
  <c r="J28" i="43"/>
  <c r="J26" i="43"/>
  <c r="J7" i="43"/>
  <c r="L101" i="43"/>
  <c r="O94" i="43"/>
  <c r="O138" i="43"/>
  <c r="N101" i="46"/>
  <c r="I36" i="43"/>
  <c r="N7" i="46"/>
  <c r="I70" i="46"/>
  <c r="I36" i="46"/>
  <c r="O9" i="44"/>
  <c r="O8" i="44"/>
  <c r="M7" i="46"/>
  <c r="O94" i="46"/>
  <c r="J7" i="46"/>
  <c r="L131" i="44"/>
  <c r="J131" i="45"/>
  <c r="O56" i="46"/>
  <c r="O37" i="44"/>
  <c r="N28" i="43"/>
  <c r="N26" i="43"/>
  <c r="L101" i="45"/>
  <c r="L70" i="45"/>
  <c r="L36" i="45"/>
  <c r="K70" i="46"/>
  <c r="K36" i="46"/>
  <c r="O9" i="46"/>
  <c r="O8" i="46"/>
  <c r="O47" i="45"/>
  <c r="O126" i="43"/>
  <c r="O125" i="43"/>
  <c r="H70" i="44"/>
  <c r="H36" i="44"/>
  <c r="O94" i="45"/>
  <c r="O47" i="44"/>
  <c r="O80" i="44"/>
  <c r="H131" i="43"/>
  <c r="H70" i="45"/>
  <c r="H36" i="45"/>
  <c r="O86" i="45"/>
  <c r="J7" i="45"/>
  <c r="M131" i="43"/>
  <c r="L101" i="44"/>
  <c r="J101" i="44"/>
  <c r="M70" i="46"/>
  <c r="M36" i="46"/>
  <c r="H70" i="46"/>
  <c r="H36" i="46"/>
  <c r="N70" i="43"/>
  <c r="N36" i="43"/>
  <c r="I28" i="46"/>
  <c r="I26" i="46"/>
  <c r="I7" i="46"/>
  <c r="L131" i="46"/>
  <c r="L7" i="44"/>
  <c r="L70" i="44"/>
  <c r="L36" i="44"/>
  <c r="O132" i="43"/>
  <c r="O80" i="46"/>
  <c r="O56" i="44"/>
  <c r="H131" i="45"/>
  <c r="O77" i="46"/>
  <c r="O126" i="45"/>
  <c r="O125" i="45"/>
  <c r="O80" i="45"/>
  <c r="O107" i="45"/>
  <c r="O17" i="45"/>
  <c r="O90" i="44"/>
  <c r="O63" i="46"/>
  <c r="J7" i="44"/>
  <c r="L7" i="43"/>
  <c r="J70" i="46"/>
  <c r="J36" i="46"/>
  <c r="N70" i="46"/>
  <c r="N36" i="46"/>
  <c r="L70" i="46"/>
  <c r="L36" i="46"/>
  <c r="O71" i="43"/>
  <c r="I131" i="45"/>
  <c r="O138" i="46"/>
  <c r="O63" i="45"/>
  <c r="N101" i="43"/>
  <c r="K28" i="45"/>
  <c r="K26" i="45"/>
  <c r="K7" i="45"/>
  <c r="M70" i="44"/>
  <c r="M36" i="44"/>
  <c r="O9" i="45"/>
  <c r="O8" i="45"/>
  <c r="O47" i="43"/>
  <c r="O56" i="45"/>
  <c r="J70" i="43"/>
  <c r="J36" i="43"/>
  <c r="L7" i="46"/>
  <c r="K28" i="46"/>
  <c r="K26" i="46"/>
  <c r="K7" i="46"/>
  <c r="O47" i="46"/>
  <c r="I70" i="44"/>
  <c r="I36" i="44"/>
  <c r="H70" i="43"/>
  <c r="H36" i="43"/>
  <c r="O63" i="43"/>
  <c r="H28" i="44"/>
  <c r="H26" i="44"/>
  <c r="H7" i="44"/>
  <c r="O132" i="45"/>
  <c r="O63" i="44"/>
  <c r="H101" i="43"/>
  <c r="O56" i="43"/>
  <c r="O17" i="44"/>
  <c r="L7" i="45"/>
  <c r="N70" i="45"/>
  <c r="N36" i="45"/>
  <c r="K70" i="43"/>
  <c r="K36" i="43"/>
  <c r="M7" i="44"/>
  <c r="N7" i="43"/>
  <c r="I101" i="44"/>
  <c r="O9" i="43"/>
  <c r="O8" i="43"/>
  <c r="J101" i="46"/>
  <c r="H131" i="46"/>
  <c r="O108" i="46"/>
  <c r="O107" i="46"/>
  <c r="J36" i="44"/>
  <c r="O138" i="44"/>
  <c r="O77" i="44"/>
  <c r="O126" i="46"/>
  <c r="O125" i="46"/>
  <c r="H107" i="44"/>
  <c r="O29" i="45"/>
  <c r="O101" i="44"/>
  <c r="M6" i="43"/>
  <c r="M5" i="43"/>
  <c r="K6" i="43"/>
  <c r="K5" i="43"/>
  <c r="K6" i="44"/>
  <c r="K5" i="44"/>
  <c r="K1" i="44"/>
  <c r="I6" i="43"/>
  <c r="I5" i="43"/>
  <c r="N6" i="44"/>
  <c r="N5" i="44"/>
  <c r="N1" i="44"/>
  <c r="O28" i="46"/>
  <c r="O26" i="46"/>
  <c r="O70" i="44"/>
  <c r="O131" i="45"/>
  <c r="O70" i="46"/>
  <c r="O36" i="46"/>
  <c r="H6" i="43"/>
  <c r="H5" i="43"/>
  <c r="O131" i="46"/>
  <c r="O70" i="45"/>
  <c r="O36" i="45"/>
  <c r="H101" i="44"/>
  <c r="H6" i="44"/>
  <c r="H5" i="44"/>
  <c r="H1" i="44"/>
  <c r="K6" i="46"/>
  <c r="K5" i="46"/>
  <c r="K1" i="46"/>
  <c r="J6" i="45"/>
  <c r="J5" i="45"/>
  <c r="J1" i="45"/>
  <c r="I6" i="45"/>
  <c r="I5" i="45"/>
  <c r="I1" i="45"/>
  <c r="O101" i="45"/>
  <c r="M6" i="45"/>
  <c r="M5" i="45"/>
  <c r="M1" i="45"/>
  <c r="O28" i="45"/>
  <c r="O26" i="45"/>
  <c r="O7" i="45"/>
  <c r="L6" i="45"/>
  <c r="L5" i="45"/>
  <c r="L1" i="45"/>
  <c r="O131" i="44"/>
  <c r="O131" i="43"/>
  <c r="O28" i="43"/>
  <c r="O26" i="43"/>
  <c r="O7" i="43"/>
  <c r="O70" i="43"/>
  <c r="O36" i="43"/>
  <c r="O101" i="43"/>
  <c r="L6" i="46"/>
  <c r="L5" i="46"/>
  <c r="L1" i="46"/>
  <c r="J6" i="46"/>
  <c r="J5" i="46"/>
  <c r="J1" i="46"/>
  <c r="I6" i="46"/>
  <c r="I5" i="46"/>
  <c r="I1" i="46"/>
  <c r="O7" i="44"/>
  <c r="L6" i="43"/>
  <c r="L5" i="43"/>
  <c r="H101" i="45"/>
  <c r="H6" i="45"/>
  <c r="H5" i="45"/>
  <c r="H1" i="45"/>
  <c r="O7" i="46"/>
  <c r="O36" i="44"/>
  <c r="M6" i="46"/>
  <c r="M5" i="46"/>
  <c r="M1" i="46"/>
  <c r="N6" i="43"/>
  <c r="N5" i="43"/>
  <c r="L6" i="44"/>
  <c r="L5" i="44"/>
  <c r="L1" i="44"/>
  <c r="N6" i="45"/>
  <c r="N5" i="45"/>
  <c r="N1" i="45"/>
  <c r="J6" i="44"/>
  <c r="J5" i="44"/>
  <c r="J1" i="44"/>
  <c r="M6" i="44"/>
  <c r="M5" i="44"/>
  <c r="M1" i="44"/>
  <c r="I6" i="44"/>
  <c r="I5" i="44"/>
  <c r="I1" i="44"/>
  <c r="K6" i="45"/>
  <c r="K5" i="45"/>
  <c r="K1" i="45"/>
  <c r="H6" i="46"/>
  <c r="H5" i="46"/>
  <c r="H1" i="46"/>
  <c r="O101" i="46"/>
  <c r="J6" i="43"/>
  <c r="J5" i="43"/>
  <c r="N6" i="46"/>
  <c r="N5" i="46"/>
  <c r="N1" i="46"/>
  <c r="O6" i="43"/>
  <c r="O5" i="43"/>
  <c r="O6" i="46"/>
  <c r="O5" i="46"/>
  <c r="O1" i="46"/>
  <c r="O6" i="44"/>
  <c r="O5" i="44"/>
  <c r="O1" i="44"/>
  <c r="O6" i="45"/>
  <c r="O5" i="45"/>
  <c r="O1" i="45"/>
  <c r="J171" i="39"/>
  <c r="N171" i="39"/>
  <c r="L171" i="39"/>
  <c r="I171" i="39"/>
  <c r="H171" i="39"/>
  <c r="K171" i="39"/>
  <c r="M171" i="39"/>
  <c r="L198" i="39"/>
  <c r="K198" i="39"/>
  <c r="H198" i="39"/>
  <c r="J198" i="39"/>
  <c r="N198" i="39"/>
  <c r="I198" i="39"/>
  <c r="M198" i="39"/>
  <c r="J218" i="39"/>
  <c r="N218" i="39"/>
  <c r="H218" i="39"/>
  <c r="I218" i="39"/>
  <c r="M218" i="39"/>
  <c r="L218" i="39"/>
  <c r="K218" i="39"/>
  <c r="J173" i="39"/>
  <c r="N173" i="39"/>
  <c r="L173" i="39"/>
  <c r="H173" i="39"/>
  <c r="K173" i="39"/>
  <c r="M173" i="39"/>
  <c r="I173" i="39"/>
  <c r="J213" i="39"/>
  <c r="N213" i="39"/>
  <c r="I213" i="39"/>
  <c r="M213" i="39"/>
  <c r="L213" i="39"/>
  <c r="H213" i="39"/>
  <c r="K213" i="39"/>
  <c r="L183" i="39"/>
  <c r="N183" i="39"/>
  <c r="J183" i="39"/>
  <c r="K183" i="39"/>
  <c r="M183" i="39"/>
  <c r="H183" i="39"/>
  <c r="I183" i="39"/>
  <c r="L193" i="39"/>
  <c r="K193" i="39"/>
  <c r="J193" i="39"/>
  <c r="N193" i="39"/>
  <c r="I193" i="39"/>
  <c r="M193" i="39"/>
  <c r="H193" i="39"/>
  <c r="N186" i="39"/>
  <c r="J186" i="39"/>
  <c r="L186" i="39"/>
  <c r="H186" i="39"/>
  <c r="M186" i="39"/>
  <c r="I186" i="39"/>
  <c r="K186" i="39"/>
  <c r="L172" i="39"/>
  <c r="J172" i="39"/>
  <c r="N172" i="39"/>
  <c r="I172" i="39"/>
  <c r="M172" i="39"/>
  <c r="K172" i="39"/>
  <c r="H172" i="39"/>
  <c r="O172" i="39"/>
  <c r="O193" i="39"/>
  <c r="O173" i="39"/>
  <c r="O213" i="39"/>
  <c r="O171" i="39"/>
  <c r="O198" i="39"/>
  <c r="O186" i="39"/>
  <c r="O218" i="39"/>
  <c r="O183" i="39"/>
  <c r="L215" i="39"/>
  <c r="K215" i="39"/>
  <c r="J215" i="39"/>
  <c r="N215" i="39"/>
  <c r="I215" i="39"/>
  <c r="M215" i="39"/>
  <c r="H215" i="39"/>
  <c r="O215" i="39"/>
  <c r="L220" i="39"/>
  <c r="K220" i="39"/>
  <c r="H220" i="39"/>
  <c r="J220" i="39"/>
  <c r="N220" i="39"/>
  <c r="I220" i="39"/>
  <c r="M220" i="39"/>
  <c r="O220" i="39"/>
  <c r="J201" i="39"/>
  <c r="N201" i="39"/>
  <c r="I201" i="39"/>
  <c r="M201" i="39"/>
  <c r="L201" i="39"/>
  <c r="H201" i="39"/>
  <c r="K201" i="39"/>
  <c r="L209" i="39"/>
  <c r="K209" i="39"/>
  <c r="H209" i="39"/>
  <c r="J209" i="39"/>
  <c r="N209" i="39"/>
  <c r="I209" i="39"/>
  <c r="M209" i="39"/>
  <c r="L203" i="39"/>
  <c r="K203" i="39"/>
  <c r="J203" i="39"/>
  <c r="N203" i="39"/>
  <c r="I203" i="39"/>
  <c r="M203" i="39"/>
  <c r="H203" i="39"/>
  <c r="O203" i="39"/>
  <c r="O201" i="39"/>
  <c r="J196" i="39"/>
  <c r="N196" i="39"/>
  <c r="H196" i="39"/>
  <c r="I196" i="39"/>
  <c r="M196" i="39"/>
  <c r="L196" i="39"/>
  <c r="K196" i="39"/>
  <c r="J181" i="39"/>
  <c r="H181" i="39"/>
  <c r="I181" i="39"/>
  <c r="N181" i="39"/>
  <c r="L181" i="39"/>
  <c r="M181" i="39"/>
  <c r="K181" i="39"/>
  <c r="J191" i="39"/>
  <c r="N191" i="39"/>
  <c r="I191" i="39"/>
  <c r="M191" i="39"/>
  <c r="L191" i="39"/>
  <c r="H191" i="39"/>
  <c r="K191" i="39"/>
  <c r="I175" i="39"/>
  <c r="M175" i="39"/>
  <c r="K175" i="39"/>
  <c r="H175" i="39"/>
  <c r="J175" i="39"/>
  <c r="N175" i="39"/>
  <c r="L175" i="39"/>
  <c r="I144" i="39"/>
  <c r="J144" i="39"/>
  <c r="K144" i="39"/>
  <c r="N144" i="39"/>
  <c r="H144" i="39"/>
  <c r="L144" i="39"/>
  <c r="M144" i="39"/>
  <c r="M178" i="39"/>
  <c r="I178" i="39"/>
  <c r="K178" i="39"/>
  <c r="H178" i="39"/>
  <c r="N178" i="39"/>
  <c r="J178" i="39"/>
  <c r="L178" i="39"/>
  <c r="J207" i="39"/>
  <c r="J204" i="39"/>
  <c r="N207" i="39"/>
  <c r="N204" i="39"/>
  <c r="H207" i="39"/>
  <c r="I207" i="39"/>
  <c r="I204" i="39"/>
  <c r="M207" i="39"/>
  <c r="M204" i="39"/>
  <c r="L207" i="39"/>
  <c r="L204" i="39"/>
  <c r="K207" i="39"/>
  <c r="K204" i="39"/>
  <c r="O209" i="39"/>
  <c r="K188" i="39"/>
  <c r="O144" i="39"/>
  <c r="O178" i="39"/>
  <c r="I188" i="39"/>
  <c r="M188" i="39"/>
  <c r="O196" i="39"/>
  <c r="J188" i="39"/>
  <c r="N188" i="39"/>
  <c r="O181" i="39"/>
  <c r="J143" i="39"/>
  <c r="N143" i="39"/>
  <c r="I143" i="39"/>
  <c r="L143" i="39"/>
  <c r="K143" i="39"/>
  <c r="H143" i="39"/>
  <c r="M143" i="39"/>
  <c r="O191" i="39"/>
  <c r="H188" i="39"/>
  <c r="O175" i="39"/>
  <c r="O207" i="39"/>
  <c r="O204" i="39"/>
  <c r="H204" i="39"/>
  <c r="M185" i="39"/>
  <c r="I185" i="39"/>
  <c r="K185" i="39"/>
  <c r="L185" i="39"/>
  <c r="H185" i="39"/>
  <c r="N185" i="39"/>
  <c r="J185" i="39"/>
  <c r="L188" i="39"/>
  <c r="O188" i="39"/>
  <c r="O143" i="39"/>
  <c r="O185" i="39"/>
  <c r="N142" i="39"/>
  <c r="J142" i="39"/>
  <c r="K142" i="39"/>
  <c r="I142" i="39"/>
  <c r="M142" i="39"/>
  <c r="L142" i="39"/>
  <c r="H142" i="39"/>
  <c r="H141" i="39"/>
  <c r="M141" i="39"/>
  <c r="L141" i="39"/>
  <c r="K141" i="39"/>
  <c r="N141" i="39"/>
  <c r="I141" i="39"/>
  <c r="J141" i="39"/>
  <c r="H138" i="39"/>
  <c r="O141" i="39"/>
  <c r="L140" i="39"/>
  <c r="K140" i="39"/>
  <c r="M140" i="39"/>
  <c r="H140" i="39"/>
  <c r="J140" i="39"/>
  <c r="I140" i="39"/>
  <c r="N140" i="39"/>
  <c r="N139" i="39"/>
  <c r="K139" i="39"/>
  <c r="J139" i="39"/>
  <c r="H139" i="39"/>
  <c r="L139" i="39"/>
  <c r="L138" i="39"/>
  <c r="M139" i="39"/>
  <c r="I139" i="39"/>
  <c r="I138" i="39"/>
  <c r="O142" i="39"/>
  <c r="J138" i="39"/>
  <c r="N138" i="39"/>
  <c r="M138" i="39"/>
  <c r="K138" i="39"/>
  <c r="O140" i="39"/>
  <c r="O139" i="39"/>
  <c r="H137" i="39"/>
  <c r="M137" i="39"/>
  <c r="L137" i="39"/>
  <c r="I137" i="39"/>
  <c r="K137" i="39"/>
  <c r="J137" i="39"/>
  <c r="N137" i="39"/>
  <c r="I135" i="39"/>
  <c r="H135" i="39"/>
  <c r="L135" i="39"/>
  <c r="N135" i="39"/>
  <c r="M135" i="39"/>
  <c r="J135" i="39"/>
  <c r="K135" i="39"/>
  <c r="M121" i="39"/>
  <c r="N121" i="39"/>
  <c r="K121" i="39"/>
  <c r="L121" i="39"/>
  <c r="K120" i="39"/>
  <c r="M120" i="39"/>
  <c r="N120" i="39"/>
  <c r="L120" i="39"/>
  <c r="J134" i="39"/>
  <c r="M134" i="39"/>
  <c r="K134" i="39"/>
  <c r="L134" i="39"/>
  <c r="H134" i="39"/>
  <c r="I134" i="39"/>
  <c r="N134" i="39"/>
  <c r="H117" i="39"/>
  <c r="K117" i="39"/>
  <c r="K116" i="39"/>
  <c r="M117" i="39"/>
  <c r="M116" i="39"/>
  <c r="L117" i="39"/>
  <c r="L116" i="39"/>
  <c r="I117" i="39"/>
  <c r="I116" i="39"/>
  <c r="J117" i="39"/>
  <c r="J116" i="39"/>
  <c r="N117" i="39"/>
  <c r="N116" i="39"/>
  <c r="M136" i="39"/>
  <c r="H136" i="39"/>
  <c r="I136" i="39"/>
  <c r="L136" i="39"/>
  <c r="N136" i="39"/>
  <c r="K136" i="39"/>
  <c r="J136" i="39"/>
  <c r="O138" i="39"/>
  <c r="H132" i="39"/>
  <c r="J119" i="39"/>
  <c r="L114" i="39"/>
  <c r="M114" i="39"/>
  <c r="K114" i="39"/>
  <c r="L119" i="39"/>
  <c r="M119" i="39"/>
  <c r="O136" i="39"/>
  <c r="N119" i="39"/>
  <c r="N133" i="39"/>
  <c r="N132" i="39"/>
  <c r="H133" i="39"/>
  <c r="J133" i="39"/>
  <c r="J132" i="39"/>
  <c r="K133" i="39"/>
  <c r="K132" i="39"/>
  <c r="L133" i="39"/>
  <c r="L132" i="39"/>
  <c r="M133" i="39"/>
  <c r="M132" i="39"/>
  <c r="I133" i="39"/>
  <c r="I132" i="39"/>
  <c r="O134" i="39"/>
  <c r="N127" i="39"/>
  <c r="M127" i="39"/>
  <c r="H127" i="39"/>
  <c r="I127" i="39"/>
  <c r="J127" i="39"/>
  <c r="K127" i="39"/>
  <c r="L127" i="39"/>
  <c r="I119" i="39"/>
  <c r="O137" i="39"/>
  <c r="H110" i="39"/>
  <c r="O110" i="39"/>
  <c r="L128" i="39"/>
  <c r="H128" i="39"/>
  <c r="J128" i="39"/>
  <c r="I128" i="39"/>
  <c r="M128" i="39"/>
  <c r="K128" i="39"/>
  <c r="N128" i="39"/>
  <c r="H111" i="39"/>
  <c r="O111" i="39"/>
  <c r="H116" i="39"/>
  <c r="O117" i="39"/>
  <c r="O116" i="39"/>
  <c r="H119" i="39"/>
  <c r="N114" i="39"/>
  <c r="I129" i="39"/>
  <c r="L129" i="39"/>
  <c r="M129" i="39"/>
  <c r="H129" i="39"/>
  <c r="K129" i="39"/>
  <c r="J129" i="39"/>
  <c r="N129" i="39"/>
  <c r="K119" i="39"/>
  <c r="J114" i="39"/>
  <c r="I114" i="39"/>
  <c r="O135" i="39"/>
  <c r="O129" i="39"/>
  <c r="O128" i="39"/>
  <c r="J126" i="39"/>
  <c r="J125" i="39"/>
  <c r="O133" i="39"/>
  <c r="O132" i="39"/>
  <c r="K126" i="39"/>
  <c r="K125" i="39"/>
  <c r="M126" i="39"/>
  <c r="M125" i="39"/>
  <c r="H75" i="39"/>
  <c r="J75" i="39"/>
  <c r="M75" i="39"/>
  <c r="L75" i="39"/>
  <c r="N75" i="39"/>
  <c r="I75" i="39"/>
  <c r="O75" i="39"/>
  <c r="K75" i="39"/>
  <c r="H109" i="39"/>
  <c r="H87" i="39"/>
  <c r="I87" i="39"/>
  <c r="J87" i="39"/>
  <c r="K87" i="39"/>
  <c r="L87" i="39"/>
  <c r="M87" i="39"/>
  <c r="N87" i="39"/>
  <c r="O127" i="39"/>
  <c r="H126" i="39"/>
  <c r="H125" i="39"/>
  <c r="N126" i="39"/>
  <c r="N125" i="39"/>
  <c r="L126" i="39"/>
  <c r="L125" i="39"/>
  <c r="H78" i="39"/>
  <c r="I78" i="39"/>
  <c r="K78" i="39"/>
  <c r="M78" i="39"/>
  <c r="L78" i="39"/>
  <c r="J78" i="39"/>
  <c r="N78" i="39"/>
  <c r="K81" i="39"/>
  <c r="M81" i="39"/>
  <c r="I81" i="39"/>
  <c r="N81" i="39"/>
  <c r="H81" i="39"/>
  <c r="J81" i="39"/>
  <c r="L81" i="39"/>
  <c r="K91" i="39"/>
  <c r="L91" i="39"/>
  <c r="N91" i="39"/>
  <c r="H91" i="39"/>
  <c r="J91" i="39"/>
  <c r="I91" i="39"/>
  <c r="M91" i="39"/>
  <c r="I126" i="39"/>
  <c r="I125" i="39"/>
  <c r="O109" i="39"/>
  <c r="H108" i="39"/>
  <c r="O126" i="39"/>
  <c r="O125" i="39"/>
  <c r="I43" i="39"/>
  <c r="K43" i="39"/>
  <c r="H43" i="39"/>
  <c r="L43" i="39"/>
  <c r="M43" i="39"/>
  <c r="N43" i="39"/>
  <c r="J43" i="39"/>
  <c r="H64" i="39"/>
  <c r="N64" i="39"/>
  <c r="I64" i="39"/>
  <c r="K64" i="39"/>
  <c r="M64" i="39"/>
  <c r="J64" i="39"/>
  <c r="L64" i="39"/>
  <c r="O91" i="39"/>
  <c r="O81" i="39"/>
  <c r="J79" i="39"/>
  <c r="J77" i="39"/>
  <c r="L79" i="39"/>
  <c r="L77" i="39"/>
  <c r="M79" i="39"/>
  <c r="M77" i="39"/>
  <c r="H79" i="39"/>
  <c r="H77" i="39"/>
  <c r="K79" i="39"/>
  <c r="K77" i="39"/>
  <c r="I79" i="39"/>
  <c r="I77" i="39"/>
  <c r="N79" i="39"/>
  <c r="N77" i="39"/>
  <c r="O87" i="39"/>
  <c r="N92" i="39"/>
  <c r="N90" i="39"/>
  <c r="J92" i="39"/>
  <c r="J90" i="39"/>
  <c r="L92" i="39"/>
  <c r="L90" i="39"/>
  <c r="I92" i="39"/>
  <c r="I90" i="39"/>
  <c r="M92" i="39"/>
  <c r="M90" i="39"/>
  <c r="K92" i="39"/>
  <c r="K90" i="39"/>
  <c r="H92" i="39"/>
  <c r="H90" i="39"/>
  <c r="I84" i="39"/>
  <c r="N84" i="39"/>
  <c r="L84" i="39"/>
  <c r="J84" i="39"/>
  <c r="H84" i="39"/>
  <c r="K84" i="39"/>
  <c r="M84" i="39"/>
  <c r="M44" i="39"/>
  <c r="K44" i="39"/>
  <c r="H44" i="39"/>
  <c r="I44" i="39"/>
  <c r="L44" i="39"/>
  <c r="N44" i="39"/>
  <c r="J44" i="39"/>
  <c r="I61" i="39"/>
  <c r="J61" i="39"/>
  <c r="L61" i="39"/>
  <c r="N61" i="39"/>
  <c r="M61" i="39"/>
  <c r="H61" i="39"/>
  <c r="K61" i="39"/>
  <c r="O78" i="39"/>
  <c r="I88" i="39"/>
  <c r="I86" i="39"/>
  <c r="K88" i="39"/>
  <c r="K86" i="39"/>
  <c r="M88" i="39"/>
  <c r="M86" i="39"/>
  <c r="L88" i="39"/>
  <c r="L86" i="39"/>
  <c r="N88" i="39"/>
  <c r="N86" i="39"/>
  <c r="H88" i="39"/>
  <c r="H86" i="39"/>
  <c r="J88" i="39"/>
  <c r="J86" i="39"/>
  <c r="L57" i="39"/>
  <c r="K57" i="39"/>
  <c r="H57" i="39"/>
  <c r="J57" i="39"/>
  <c r="M57" i="39"/>
  <c r="I57" i="39"/>
  <c r="N57" i="39"/>
  <c r="N82" i="39"/>
  <c r="J82" i="39"/>
  <c r="H82" i="39"/>
  <c r="H80" i="39"/>
  <c r="L82" i="39"/>
  <c r="M82" i="39"/>
  <c r="K82" i="39"/>
  <c r="I82" i="39"/>
  <c r="H40" i="39"/>
  <c r="K40" i="39"/>
  <c r="J40" i="39"/>
  <c r="I40" i="39"/>
  <c r="M40" i="39"/>
  <c r="L40" i="39"/>
  <c r="N40" i="39"/>
  <c r="J48" i="39"/>
  <c r="H48" i="39"/>
  <c r="N48" i="39"/>
  <c r="M48" i="39"/>
  <c r="K48" i="39"/>
  <c r="I48" i="39"/>
  <c r="L48" i="39"/>
  <c r="I67" i="39"/>
  <c r="J67" i="39"/>
  <c r="N67" i="39"/>
  <c r="L67" i="39"/>
  <c r="H67" i="39"/>
  <c r="K67" i="39"/>
  <c r="M67" i="39"/>
  <c r="I46" i="39"/>
  <c r="I45" i="39"/>
  <c r="H46" i="39"/>
  <c r="K46" i="39"/>
  <c r="K45" i="39"/>
  <c r="N46" i="39"/>
  <c r="N45" i="39"/>
  <c r="M46" i="39"/>
  <c r="M45" i="39"/>
  <c r="J46" i="39"/>
  <c r="J45" i="39"/>
  <c r="L46" i="39"/>
  <c r="L45" i="39"/>
  <c r="N62" i="39"/>
  <c r="I62" i="39"/>
  <c r="L62" i="39"/>
  <c r="J62" i="39"/>
  <c r="H62" i="39"/>
  <c r="M62" i="39"/>
  <c r="K62" i="39"/>
  <c r="H68" i="39"/>
  <c r="M68" i="39"/>
  <c r="J68" i="39"/>
  <c r="K68" i="39"/>
  <c r="I68" i="39"/>
  <c r="N68" i="39"/>
  <c r="L68" i="39"/>
  <c r="N72" i="39"/>
  <c r="L72" i="39"/>
  <c r="J72" i="39"/>
  <c r="I72" i="39"/>
  <c r="H72" i="39"/>
  <c r="M72" i="39"/>
  <c r="K72" i="39"/>
  <c r="O61" i="39"/>
  <c r="O44" i="39"/>
  <c r="O67" i="39"/>
  <c r="O82" i="39"/>
  <c r="J74" i="39"/>
  <c r="H74" i="39"/>
  <c r="M74" i="39"/>
  <c r="K74" i="39"/>
  <c r="N74" i="39"/>
  <c r="I74" i="39"/>
  <c r="L74" i="39"/>
  <c r="N59" i="39"/>
  <c r="L59" i="39"/>
  <c r="J59" i="39"/>
  <c r="H59" i="39"/>
  <c r="K59" i="39"/>
  <c r="M59" i="39"/>
  <c r="I59" i="39"/>
  <c r="M51" i="39"/>
  <c r="K51" i="39"/>
  <c r="I51" i="39"/>
  <c r="H51" i="39"/>
  <c r="N51" i="39"/>
  <c r="L51" i="39"/>
  <c r="J51" i="39"/>
  <c r="L50" i="39"/>
  <c r="I50" i="39"/>
  <c r="J50" i="39"/>
  <c r="H50" i="39"/>
  <c r="N50" i="39"/>
  <c r="K50" i="39"/>
  <c r="M50" i="39"/>
  <c r="K85" i="39"/>
  <c r="K80" i="39"/>
  <c r="M85" i="39"/>
  <c r="M80" i="39"/>
  <c r="I85" i="39"/>
  <c r="I80" i="39"/>
  <c r="J85" i="39"/>
  <c r="J80" i="39"/>
  <c r="H85" i="39"/>
  <c r="L85" i="39"/>
  <c r="L80" i="39"/>
  <c r="N85" i="39"/>
  <c r="N80" i="39"/>
  <c r="O40" i="39"/>
  <c r="O88" i="39"/>
  <c r="O86" i="39"/>
  <c r="O43" i="39"/>
  <c r="M60" i="39"/>
  <c r="K60" i="39"/>
  <c r="J60" i="39"/>
  <c r="I60" i="39"/>
  <c r="H60" i="39"/>
  <c r="L60" i="39"/>
  <c r="N60" i="39"/>
  <c r="H45" i="39"/>
  <c r="O46" i="39"/>
  <c r="O45" i="39"/>
  <c r="O57" i="39"/>
  <c r="O64" i="39"/>
  <c r="O68" i="39"/>
  <c r="O62" i="39"/>
  <c r="O79" i="39"/>
  <c r="O77" i="39"/>
  <c r="N39" i="39"/>
  <c r="L39" i="39"/>
  <c r="H39" i="39"/>
  <c r="M39" i="39"/>
  <c r="I39" i="39"/>
  <c r="J39" i="39"/>
  <c r="K39" i="39"/>
  <c r="N66" i="39"/>
  <c r="H66" i="39"/>
  <c r="J66" i="39"/>
  <c r="L66" i="39"/>
  <c r="M66" i="39"/>
  <c r="K66" i="39"/>
  <c r="I66" i="39"/>
  <c r="M49" i="39"/>
  <c r="I49" i="39"/>
  <c r="L49" i="39"/>
  <c r="K49" i="39"/>
  <c r="J49" i="39"/>
  <c r="H49" i="39"/>
  <c r="N49" i="39"/>
  <c r="O48" i="39"/>
  <c r="J38" i="39"/>
  <c r="K38" i="39"/>
  <c r="L38" i="39"/>
  <c r="I38" i="39"/>
  <c r="H38" i="39"/>
  <c r="N38" i="39"/>
  <c r="M38" i="39"/>
  <c r="L58" i="39"/>
  <c r="I58" i="39"/>
  <c r="J58" i="39"/>
  <c r="H58" i="39"/>
  <c r="N58" i="39"/>
  <c r="K58" i="39"/>
  <c r="K56" i="39"/>
  <c r="M58" i="39"/>
  <c r="H20" i="39"/>
  <c r="K20" i="39"/>
  <c r="M20" i="39"/>
  <c r="I20" i="39"/>
  <c r="L20" i="39"/>
  <c r="J20" i="39"/>
  <c r="N20" i="39"/>
  <c r="O72" i="39"/>
  <c r="N65" i="39"/>
  <c r="L65" i="39"/>
  <c r="J65" i="39"/>
  <c r="H65" i="39"/>
  <c r="K65" i="39"/>
  <c r="I65" i="39"/>
  <c r="M65" i="39"/>
  <c r="N52" i="39"/>
  <c r="J52" i="39"/>
  <c r="L52" i="39"/>
  <c r="H52" i="39"/>
  <c r="M52" i="39"/>
  <c r="K52" i="39"/>
  <c r="I52" i="39"/>
  <c r="I41" i="39"/>
  <c r="J41" i="39"/>
  <c r="L41" i="39"/>
  <c r="N41" i="39"/>
  <c r="H41" i="39"/>
  <c r="K41" i="39"/>
  <c r="M41" i="39"/>
  <c r="N42" i="39"/>
  <c r="K42" i="39"/>
  <c r="L42" i="39"/>
  <c r="J42" i="39"/>
  <c r="H42" i="39"/>
  <c r="M42" i="39"/>
  <c r="I42" i="39"/>
  <c r="I73" i="39"/>
  <c r="H73" i="39"/>
  <c r="H71" i="39"/>
  <c r="J73" i="39"/>
  <c r="L73" i="39"/>
  <c r="K73" i="39"/>
  <c r="K71" i="39"/>
  <c r="N73" i="39"/>
  <c r="M73" i="39"/>
  <c r="M71" i="39"/>
  <c r="O84" i="39"/>
  <c r="O92" i="39"/>
  <c r="O90" i="39"/>
  <c r="I71" i="39"/>
  <c r="H56" i="39"/>
  <c r="L71" i="39"/>
  <c r="N56" i="39"/>
  <c r="J71" i="39"/>
  <c r="I56" i="39"/>
  <c r="N71" i="39"/>
  <c r="L56" i="39"/>
  <c r="H63" i="39"/>
  <c r="M56" i="39"/>
  <c r="J56" i="39"/>
  <c r="H47" i="39"/>
  <c r="M37" i="39"/>
  <c r="L37" i="39"/>
  <c r="I37" i="39"/>
  <c r="H37" i="39"/>
  <c r="J37" i="39"/>
  <c r="N37" i="39"/>
  <c r="K37" i="39"/>
  <c r="O41" i="39"/>
  <c r="O49" i="39"/>
  <c r="O85" i="39"/>
  <c r="O80" i="39"/>
  <c r="O52" i="39"/>
  <c r="O20" i="39"/>
  <c r="H31" i="39"/>
  <c r="J31" i="39"/>
  <c r="L31" i="39"/>
  <c r="K31" i="39"/>
  <c r="I31" i="39"/>
  <c r="N31" i="39"/>
  <c r="M31" i="39"/>
  <c r="O65" i="39"/>
  <c r="O58" i="39"/>
  <c r="O66" i="39"/>
  <c r="O51" i="39"/>
  <c r="O59" i="39"/>
  <c r="O74" i="39"/>
  <c r="I69" i="39"/>
  <c r="I63" i="39"/>
  <c r="K69" i="39"/>
  <c r="K63" i="39"/>
  <c r="M69" i="39"/>
  <c r="M63" i="39"/>
  <c r="L69" i="39"/>
  <c r="L63" i="39"/>
  <c r="N69" i="39"/>
  <c r="N63" i="39"/>
  <c r="H69" i="39"/>
  <c r="J69" i="39"/>
  <c r="J63" i="39"/>
  <c r="O38" i="39"/>
  <c r="H53" i="39"/>
  <c r="K53" i="39"/>
  <c r="K47" i="39"/>
  <c r="M53" i="39"/>
  <c r="M47" i="39"/>
  <c r="L53" i="39"/>
  <c r="L47" i="39"/>
  <c r="I53" i="39"/>
  <c r="I47" i="39"/>
  <c r="J53" i="39"/>
  <c r="J47" i="39"/>
  <c r="N53" i="39"/>
  <c r="N47" i="39"/>
  <c r="N34" i="39"/>
  <c r="L34" i="39"/>
  <c r="H34" i="39"/>
  <c r="J34" i="39"/>
  <c r="K34" i="39"/>
  <c r="I34" i="39"/>
  <c r="M34" i="39"/>
  <c r="K21" i="39"/>
  <c r="I21" i="39"/>
  <c r="H21" i="39"/>
  <c r="M21" i="39"/>
  <c r="N21" i="39"/>
  <c r="L21" i="39"/>
  <c r="J21" i="39"/>
  <c r="I30" i="39"/>
  <c r="J30" i="39"/>
  <c r="L30" i="39"/>
  <c r="N30" i="39"/>
  <c r="H30" i="39"/>
  <c r="K30" i="39"/>
  <c r="M30" i="39"/>
  <c r="O42" i="39"/>
  <c r="O73" i="39"/>
  <c r="O39" i="39"/>
  <c r="O60" i="39"/>
  <c r="O50" i="39"/>
  <c r="O56" i="39"/>
  <c r="O71" i="39"/>
  <c r="O37" i="39"/>
  <c r="O53" i="39"/>
  <c r="O47" i="39"/>
  <c r="K29" i="39"/>
  <c r="M29" i="39"/>
  <c r="L29" i="39"/>
  <c r="O34" i="39"/>
  <c r="N29" i="39"/>
  <c r="I29" i="39"/>
  <c r="J29" i="39"/>
  <c r="O21" i="39"/>
  <c r="H113" i="39"/>
  <c r="H29" i="39"/>
  <c r="O30" i="39"/>
  <c r="H112" i="39"/>
  <c r="I158" i="39"/>
  <c r="I160" i="39"/>
  <c r="O160" i="39"/>
  <c r="O31" i="39"/>
  <c r="O69" i="39"/>
  <c r="O63" i="39"/>
  <c r="J131" i="39"/>
  <c r="N108" i="39"/>
  <c r="N107" i="39"/>
  <c r="K131" i="39"/>
  <c r="J108" i="39"/>
  <c r="J107" i="39"/>
  <c r="L108" i="39"/>
  <c r="L107" i="39"/>
  <c r="I131" i="39"/>
  <c r="L131" i="39"/>
  <c r="N131" i="39"/>
  <c r="M131" i="39"/>
  <c r="H131" i="39"/>
  <c r="M108" i="39"/>
  <c r="M107" i="39"/>
  <c r="K108" i="39"/>
  <c r="K107" i="39"/>
  <c r="J24" i="39"/>
  <c r="H24" i="39"/>
  <c r="M24" i="39"/>
  <c r="K24" i="39"/>
  <c r="N24" i="39"/>
  <c r="I24" i="39"/>
  <c r="L24" i="39"/>
  <c r="I155" i="39"/>
  <c r="I154" i="39"/>
  <c r="O158" i="39"/>
  <c r="O155" i="39"/>
  <c r="O154" i="39"/>
  <c r="O29" i="39"/>
  <c r="I107" i="39"/>
  <c r="O131" i="39"/>
  <c r="O108" i="39"/>
  <c r="J33" i="39"/>
  <c r="L33" i="39"/>
  <c r="N33" i="39"/>
  <c r="K33" i="39"/>
  <c r="H33" i="39"/>
  <c r="H32" i="39"/>
  <c r="I33" i="39"/>
  <c r="M33" i="39"/>
  <c r="H9" i="39"/>
  <c r="H8" i="39"/>
  <c r="O24" i="39"/>
  <c r="L177" i="39"/>
  <c r="L169" i="39"/>
  <c r="L168" i="39"/>
  <c r="L153" i="39"/>
  <c r="N177" i="39"/>
  <c r="N169" i="39"/>
  <c r="N168" i="39"/>
  <c r="N153" i="39"/>
  <c r="J177" i="39"/>
  <c r="J169" i="39"/>
  <c r="J168" i="39"/>
  <c r="J153" i="39"/>
  <c r="K177" i="39"/>
  <c r="K169" i="39"/>
  <c r="K168" i="39"/>
  <c r="K153" i="39"/>
  <c r="H177" i="39"/>
  <c r="M177" i="39"/>
  <c r="M169" i="39"/>
  <c r="M168" i="39"/>
  <c r="M153" i="39"/>
  <c r="I177" i="39"/>
  <c r="I169" i="39"/>
  <c r="I168" i="39"/>
  <c r="I153" i="39"/>
  <c r="M32" i="39"/>
  <c r="M28" i="39"/>
  <c r="M26" i="39"/>
  <c r="J32" i="39"/>
  <c r="J28" i="39"/>
  <c r="J26" i="39"/>
  <c r="N32" i="39"/>
  <c r="N28" i="39"/>
  <c r="N26" i="39"/>
  <c r="K32" i="39"/>
  <c r="K28" i="39"/>
  <c r="K26" i="39"/>
  <c r="I32" i="39"/>
  <c r="I28" i="39"/>
  <c r="I26" i="39"/>
  <c r="L32" i="39"/>
  <c r="L28" i="39"/>
  <c r="L26" i="39"/>
  <c r="O33" i="39"/>
  <c r="O177" i="39"/>
  <c r="O169" i="39"/>
  <c r="O168" i="39"/>
  <c r="H169" i="39"/>
  <c r="H168" i="39"/>
  <c r="H153" i="39"/>
  <c r="O153" i="39"/>
  <c r="O32" i="39"/>
  <c r="O28" i="39"/>
  <c r="O26" i="39"/>
  <c r="H28" i="39"/>
  <c r="H26" i="39"/>
  <c r="N23" i="39"/>
  <c r="M23" i="39"/>
  <c r="L23" i="39"/>
  <c r="K23" i="39"/>
  <c r="J23" i="39"/>
  <c r="I23" i="39"/>
  <c r="H23" i="39"/>
  <c r="O23" i="39"/>
  <c r="H115" i="39"/>
  <c r="O115" i="39"/>
  <c r="H114" i="39"/>
  <c r="H107" i="39"/>
  <c r="O114" i="39"/>
  <c r="O107" i="39"/>
  <c r="J18" i="39"/>
  <c r="J17" i="39"/>
  <c r="L18" i="39"/>
  <c r="L17" i="39"/>
  <c r="N18" i="39"/>
  <c r="N17" i="39"/>
  <c r="M18" i="39"/>
  <c r="M17" i="39"/>
  <c r="K18" i="39"/>
  <c r="K17" i="39"/>
  <c r="I18" i="39"/>
  <c r="I17" i="39"/>
  <c r="H18" i="39"/>
  <c r="H17" i="39"/>
  <c r="L9" i="39"/>
  <c r="L8" i="39"/>
  <c r="L7" i="39"/>
  <c r="K9" i="39"/>
  <c r="K8" i="39"/>
  <c r="K7" i="39"/>
  <c r="N9" i="39"/>
  <c r="N8" i="39"/>
  <c r="N7" i="39"/>
  <c r="N223" i="39"/>
  <c r="J9" i="39"/>
  <c r="J8" i="39"/>
  <c r="J7" i="39"/>
  <c r="M9" i="39"/>
  <c r="M8" i="39"/>
  <c r="M7" i="39"/>
  <c r="H7" i="39"/>
  <c r="O18" i="39"/>
  <c r="O17" i="39"/>
  <c r="O9" i="39"/>
  <c r="O8" i="39"/>
  <c r="O7" i="39"/>
  <c r="I9" i="39"/>
  <c r="I8" i="39"/>
  <c r="I7" i="39"/>
  <c r="L104" i="39"/>
  <c r="L103" i="39"/>
  <c r="L101" i="39"/>
  <c r="N104" i="39"/>
  <c r="N103" i="39"/>
  <c r="N101" i="39"/>
  <c r="K104" i="39"/>
  <c r="K103" i="39"/>
  <c r="K101" i="39"/>
  <c r="J103" i="39"/>
  <c r="J101" i="39"/>
  <c r="M104" i="39"/>
  <c r="M103" i="39"/>
  <c r="M101" i="39"/>
  <c r="I103" i="39"/>
  <c r="I101" i="39"/>
  <c r="M99" i="39"/>
  <c r="N99" i="39"/>
  <c r="I99" i="39"/>
  <c r="K99" i="39"/>
  <c r="L99" i="39"/>
  <c r="J99" i="39"/>
  <c r="H99" i="39"/>
  <c r="O101" i="39"/>
  <c r="H103" i="39"/>
  <c r="H101" i="39"/>
  <c r="K98" i="39"/>
  <c r="J98" i="39"/>
  <c r="N98" i="39"/>
  <c r="I98" i="39"/>
  <c r="L98" i="39"/>
  <c r="M98" i="39"/>
  <c r="H98" i="39"/>
  <c r="O99" i="39"/>
  <c r="J97" i="39"/>
  <c r="L97" i="39"/>
  <c r="M97" i="39"/>
  <c r="N97" i="39"/>
  <c r="K97" i="39"/>
  <c r="I97" i="39"/>
  <c r="H97" i="39"/>
  <c r="O98" i="39"/>
  <c r="M96" i="39"/>
  <c r="H96" i="39"/>
  <c r="H94" i="39"/>
  <c r="I96" i="39"/>
  <c r="J96" i="39"/>
  <c r="L96" i="39"/>
  <c r="N96" i="39"/>
  <c r="K96" i="39"/>
  <c r="O97" i="39"/>
  <c r="L94" i="39"/>
  <c r="L70" i="39"/>
  <c r="L36" i="39"/>
  <c r="L6" i="39"/>
  <c r="L5" i="39"/>
  <c r="M94" i="39"/>
  <c r="M70" i="39"/>
  <c r="M36" i="39"/>
  <c r="M6" i="39"/>
  <c r="M5" i="39"/>
  <c r="N94" i="39"/>
  <c r="N70" i="39"/>
  <c r="N36" i="39"/>
  <c r="N6" i="39"/>
  <c r="N5" i="39"/>
  <c r="K94" i="39"/>
  <c r="K70" i="39"/>
  <c r="K36" i="39"/>
  <c r="K6" i="39"/>
  <c r="K5" i="39"/>
  <c r="I94" i="39"/>
  <c r="I70" i="39"/>
  <c r="I36" i="39"/>
  <c r="I6" i="39"/>
  <c r="I5" i="39"/>
  <c r="J94" i="39"/>
  <c r="J70" i="39"/>
  <c r="J36" i="39"/>
  <c r="J6" i="39"/>
  <c r="J5" i="39"/>
  <c r="H70" i="39"/>
  <c r="H36" i="39"/>
  <c r="H6" i="39"/>
  <c r="H5" i="39"/>
  <c r="O96" i="39"/>
  <c r="O94" i="39"/>
  <c r="O70" i="39"/>
  <c r="O36" i="39"/>
  <c r="O6" i="39"/>
  <c r="O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Tonchis</author>
    <author>D</author>
    <author>MZ</author>
    <author>Ro</author>
  </authors>
  <commentList>
    <comment ref="H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para los combustibles gaseosos la unidad es GJ/1000 m3
</t>
        </r>
      </text>
    </comment>
    <comment ref="L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1.38 excepto que se mencionado fuente aparte</t>
        </r>
      </text>
    </comment>
    <comment ref="M5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1.40 excepto que se mencionado fuente aparte</t>
        </r>
      </text>
    </comment>
    <comment ref="N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1.42 excepto que se mencionado fuente aparte</t>
        </r>
      </text>
    </comment>
    <comment ref="J103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K103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L103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J108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08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09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09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10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10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16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p3.43</t>
        </r>
      </text>
    </comment>
    <comment ref="K116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p3.43</t>
        </r>
      </text>
    </comment>
    <comment ref="J119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p3.50</t>
        </r>
      </text>
    </comment>
    <comment ref="K119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p3.50</t>
        </r>
      </text>
    </comment>
    <comment ref="J157" authorId="2" shapeId="0" xr:uid="{00000000-0006-0000-0100-000012000000}">
      <text>
        <r>
          <rPr>
            <sz val="9"/>
            <color indexed="81"/>
            <rFont val="Tahoma"/>
            <family val="2"/>
          </rPr>
          <t>IPCC 2006 (valor medio)
18 m3CH4/t carbón * 0.67 kgCH4/m3CH4 / 1000000 kg/Gg = 0.0000168 GgCH4/t carbón</t>
        </r>
      </text>
    </comment>
    <comment ref="J159" authorId="2" shapeId="0" xr:uid="{00000000-0006-0000-0100-000013000000}">
      <text>
        <r>
          <rPr>
            <sz val="9"/>
            <color indexed="81"/>
            <rFont val="Tahoma"/>
            <family val="2"/>
          </rPr>
          <t>IPCC 2006 (valor medio)
2,5 m3CH4/t carbón * 0.67 kgCH4/m3CH4 / 1000000 kg/Gg = 0.00000168 tCH4/t carbón</t>
        </r>
      </text>
    </comment>
    <comment ref="I170" authorId="3" shapeId="0" xr:uid="{00000000-0006-0000-0100-000014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0" authorId="3" shapeId="0" xr:uid="{00000000-0006-0000-0100-000015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0" authorId="3" shapeId="0" xr:uid="{00000000-0006-0000-0100-000016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0" authorId="3" shapeId="0" xr:uid="{00000000-0006-0000-0100-000017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1" authorId="3" shapeId="0" xr:uid="{00000000-0006-0000-0100-000018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1" authorId="3" shapeId="0" xr:uid="{00000000-0006-0000-0100-000019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1" authorId="3" shapeId="0" xr:uid="{00000000-0006-0000-0100-00001A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1" authorId="3" shapeId="0" xr:uid="{00000000-0006-0000-0100-00001B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2" authorId="3" shapeId="0" xr:uid="{00000000-0006-0000-0100-00001C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2" authorId="3" shapeId="0" xr:uid="{00000000-0006-0000-0100-00001D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2" authorId="3" shapeId="0" xr:uid="{00000000-0006-0000-0100-00001E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2" authorId="3" shapeId="0" xr:uid="{00000000-0006-0000-0100-00001F000000}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4" authorId="3" shapeId="0" xr:uid="{00000000-0006-0000-0100-000020000000}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J174" authorId="3" shapeId="0" xr:uid="{00000000-0006-0000-0100-000021000000}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N174" authorId="3" shapeId="0" xr:uid="{00000000-0006-0000-0100-000022000000}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J176" authorId="3" shapeId="0" xr:uid="{00000000-0006-0000-0100-000023000000}">
      <text>
        <r>
          <rPr>
            <sz val="9"/>
            <color indexed="81"/>
            <rFont val="Tahoma"/>
            <family val="2"/>
          </rPr>
          <t>Factores emisión default IPCC 1996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 1-131 manual de referencia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transporte petróleo (petróleo transportado en buques tanque)
0,745 KgCH4/TJ * PCI * dens / 1.000.000 kg/Gg = GgCH4/mil m3
Nota h ipcc 2006:3,6 Gg/mil m3 (Noruega)</t>
        </r>
      </text>
    </comment>
    <comment ref="I177" authorId="1" shapeId="0" xr:uid="{00000000-0006-0000-0100-000024000000}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J177" authorId="1" shapeId="0" xr:uid="{00000000-0006-0000-0100-000025000000}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N177" authorId="1" shapeId="0" xr:uid="{00000000-0006-0000-0100-000026000000}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J180" authorId="1" shapeId="0" xr:uid="{00000000-0006-0000-0100-000027000000}">
      <text>
        <r>
          <rPr>
            <sz val="9"/>
            <color indexed="81"/>
            <rFont val="Tahoma"/>
            <family val="2"/>
          </rPr>
          <t>Valor medio (Li*a=Ls/a) del IPCC 2006 países desarrollados.
Gg por 1000 m3 de petróleo refinado</t>
        </r>
      </text>
    </comment>
    <comment ref="L180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0,05 kg/m3 = 0,00005 t/m3</t>
        </r>
      </text>
    </comment>
    <comment ref="M180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0,08 kg/m3 = 0,00008 t/m3</t>
        </r>
      </text>
    </comment>
    <comment ref="N180" authorId="1" shapeId="0" xr:uid="{00000000-0006-0000-0100-00002A000000}">
      <text>
        <r>
          <rPr>
            <sz val="9"/>
            <color indexed="81"/>
            <rFont val="Tahoma"/>
            <family val="2"/>
          </rPr>
          <t>Valor medio (Li*a=Ls/a) del IPCC 2006 países desarrollados.
Gg por 1000 m3 de petróleo refinado</t>
        </r>
      </text>
    </comment>
    <comment ref="O180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0,8 kg/m3 = 0,0008 t/m3</t>
        </r>
      </text>
    </comment>
    <comment ref="J182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1-131 manual de referencia
0,020-0,260 kg/TJ * PCI * dens / 1.000.000 kg/Gg = Gg CH4/mil m3</t>
        </r>
      </text>
    </comment>
    <comment ref="N184" authorId="1" shapeId="0" xr:uid="{00000000-0006-0000-0100-00002D000000}">
      <text>
        <r>
          <rPr>
            <sz val="9"/>
            <color indexed="81"/>
            <rFont val="Tahoma"/>
            <family val="2"/>
          </rPr>
          <t>IPCC 2006 países desarrollados - gasolina.
Gg por 1000 m3 de producto distribuido.</t>
        </r>
      </text>
    </comment>
    <comment ref="I185" authorId="1" shapeId="0" xr:uid="{00000000-0006-0000-0100-00002E000000}">
      <text>
        <r>
          <rPr>
            <sz val="9"/>
            <color indexed="81"/>
            <rFont val="Tahoma"/>
            <family val="2"/>
          </rPr>
          <t>IPCC 2006 países en desarrollo - GLP.
Gg por 1000 m3 de producto distribuido.</t>
        </r>
      </text>
    </comment>
    <comment ref="L185" authorId="1" shapeId="0" xr:uid="{00000000-0006-0000-0100-00002F000000}">
      <text>
        <r>
          <rPr>
            <sz val="9"/>
            <color indexed="81"/>
            <rFont val="Tahoma"/>
            <family val="2"/>
          </rPr>
          <t>IPCC 2006 países en desarrollo - GLP.
Gg por 1000 m3 de producto distribuido.</t>
        </r>
      </text>
    </comment>
    <comment ref="I190" authorId="3" shapeId="0" xr:uid="{00000000-0006-0000-0100-000030000000}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J190" authorId="3" shapeId="0" xr:uid="{00000000-0006-0000-0100-000031000000}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N190" authorId="3" shapeId="0" xr:uid="{00000000-0006-0000-0100-000032000000}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I192" authorId="3" shapeId="0" xr:uid="{00000000-0006-0000-0100-000033000000}">
      <text>
        <r>
          <rPr>
            <sz val="9"/>
            <color indexed="81"/>
            <rFont val="Tahoma"/>
            <family val="2"/>
          </rPr>
          <t>Valor medio (Li*a=Ls/a) del IPCC 2006 
procesamiento gas
Gg/millon m3`</t>
        </r>
      </text>
    </comment>
    <comment ref="J192" authorId="3" shapeId="0" xr:uid="{00000000-0006-0000-0100-000034000000}">
      <text>
        <r>
          <rPr>
            <sz val="9"/>
            <color indexed="81"/>
            <rFont val="Tahoma"/>
            <family val="2"/>
          </rPr>
          <t>Valor medio (Li*a=Ls/a) del IPCC 2006 
procesamiento gas
Gg/millon m3</t>
        </r>
      </text>
    </comment>
    <comment ref="N192" authorId="3" shapeId="0" xr:uid="{00000000-0006-0000-0100-000035000000}">
      <text>
        <r>
          <rPr>
            <sz val="9"/>
            <color indexed="81"/>
            <rFont val="Tahoma"/>
            <family val="2"/>
          </rPr>
          <t>Valor medio (Li*a=Ls/a) del IPCC 2006 
procesamiento gas
Gg/millon m3</t>
        </r>
      </text>
    </comment>
    <comment ref="I195" authorId="3" shapeId="0" xr:uid="{00000000-0006-0000-0100-000036000000}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J195" authorId="3" shapeId="0" xr:uid="{00000000-0006-0000-0100-000037000000}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N195" authorId="3" shapeId="0" xr:uid="{00000000-0006-0000-0100-000038000000}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I197" authorId="3" shapeId="0" xr:uid="{00000000-0006-0000-0100-000039000000}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J197" authorId="3" shapeId="0" xr:uid="{00000000-0006-0000-0100-00003A000000}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N197" authorId="3" shapeId="0" xr:uid="{00000000-0006-0000-0100-00003B000000}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J200" authorId="1" shapeId="0" xr:uid="{00000000-0006-0000-0100-00003C000000}">
      <text>
        <r>
          <rPr>
            <sz val="9"/>
            <color indexed="81"/>
            <rFont val="Tahoma"/>
            <family val="2"/>
          </rPr>
          <t>Factores emisión medio IPCC 1996
p 1-121 manual de referencia
fugas en plantas industriales y centrales electricas
KgCH4/TJ * PCI / 1.000.000 kg/Gg = GgCH4/millon m3</t>
        </r>
      </text>
    </comment>
    <comment ref="J202" authorId="1" shapeId="0" xr:uid="{00000000-0006-0000-0100-00003D000000}">
      <text>
        <r>
          <rPr>
            <sz val="9"/>
            <color indexed="81"/>
            <rFont val="Tahoma"/>
            <family val="2"/>
          </rPr>
          <t>Factores emisión medio IPCC 1996
p 1-121 manual de referencia
fugas en consumo residencial y comercial
KgCH4/TJ * PCI / 1.000.000 kg/Gg = GgCH4/millon m3</t>
        </r>
      </text>
    </comment>
    <comment ref="I206" authorId="3" shapeId="0" xr:uid="{00000000-0006-0000-0100-00003E000000}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J206" authorId="3" shapeId="0" xr:uid="{00000000-0006-0000-0100-00003F000000}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N206" authorId="3" shapeId="0" xr:uid="{00000000-0006-0000-0100-000040000000}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I208" authorId="3" shapeId="0" xr:uid="{00000000-0006-0000-0100-000041000000}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J208" authorId="3" shapeId="0" xr:uid="{00000000-0006-0000-0100-000042000000}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K208" authorId="3" shapeId="0" xr:uid="{00000000-0006-0000-0100-000043000000}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N208" authorId="3" shapeId="0" xr:uid="{00000000-0006-0000-0100-000044000000}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I212" authorId="3" shapeId="0" xr:uid="{00000000-0006-0000-0100-000045000000}">
      <text>
        <r>
          <rPr>
            <sz val="9"/>
            <color indexed="81"/>
            <rFont val="Tahoma"/>
            <family val="2"/>
          </rPr>
          <t>Valor medio (Li*a=Ls/a) del IPCC 2006 
procesamiento gas
Gg/millon m3`</t>
        </r>
      </text>
    </comment>
    <comment ref="I214" authorId="3" shapeId="0" xr:uid="{00000000-0006-0000-0100-000046000000}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J214" authorId="3" shapeId="0" xr:uid="{00000000-0006-0000-0100-000047000000}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N214" authorId="3" shapeId="0" xr:uid="{00000000-0006-0000-0100-000048000000}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I217" authorId="1" shapeId="0" xr:uid="{00000000-0006-0000-0100-000049000000}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J217" authorId="1" shapeId="0" xr:uid="{00000000-0006-0000-0100-00004A000000}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K217" authorId="1" shapeId="0" xr:uid="{00000000-0006-0000-0100-00004B000000}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N217" authorId="1" shapeId="0" xr:uid="{00000000-0006-0000-0100-00004C000000}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I219" authorId="1" shapeId="0" xr:uid="{00000000-0006-0000-0100-00004D000000}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J219" authorId="1" shapeId="0" xr:uid="{00000000-0006-0000-0100-00004E000000}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K219" authorId="1" shapeId="0" xr:uid="{00000000-0006-0000-0100-00004F000000}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N219" authorId="1" shapeId="0" xr:uid="{00000000-0006-0000-0100-000050000000}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</author>
  </authors>
  <commentList>
    <comment ref="E6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C [%] = 2,35 x PCI [MJ/kg] + 5,62</t>
        </r>
      </text>
    </comment>
    <comment ref="H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24,70 ipcc1996 ARG p1.16</t>
        </r>
      </text>
    </comment>
    <comment ref="E7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
C [%] = 2,35 x PCI [MJ/kg] + 5,62</t>
        </r>
      </text>
    </comment>
    <comment ref="H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30,14 ipcc1996 ARG p1.16</t>
        </r>
      </text>
    </comment>
    <comment ref="E12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
Contenido de carbono = 76,99 + 10,19 x gravedad específica – 0,76 x contenido de azufre</t>
        </r>
      </text>
    </comment>
    <comment ref="H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42,29 ipcc1996 ARG p1.16</t>
        </r>
      </text>
    </comment>
    <comment ref="H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asume 90% GLP y 10% nafta motor.
Promedio BEN 2012-2008: 88%</t>
        </r>
      </text>
    </comment>
    <comment ref="J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asume 90% GLP y 10% nafta motor.
Promedio BEN 2012-2008: 88%</t>
        </r>
      </text>
    </comment>
    <comment ref="S1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ultradiesel</t>
        </r>
      </text>
    </comment>
    <comment ref="S1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fuel oil marino</t>
        </r>
      </text>
    </comment>
    <comment ref="S1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GLP</t>
        </r>
      </text>
    </comment>
    <comment ref="S20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nafta super</t>
        </r>
      </text>
    </comment>
    <comment ref="S2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JET A1</t>
        </r>
      </text>
    </comment>
    <comment ref="S22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kerosene</t>
        </r>
      </text>
    </comment>
    <comment ref="E27" authorId="0" shapeId="0" xr:uid="{00000000-0006-0000-0200-00000F000000}">
      <text>
        <r>
          <rPr>
            <sz val="9"/>
            <color indexed="81"/>
            <rFont val="Tahoma"/>
            <family val="2"/>
          </rPr>
          <t xml:space="preserve">
FE [tn de C/TJ] = 13,708 + 0,0828 x 10-3 x (P. Calorífico Sup. [kJ/m3] – 37234)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9" type="1" refreshedVersion="2" saveData="1">
    <dbPr connection="DBQ=C:\Sescoweb\sescoweb.mdb;DefaultDir=C:\Sescoweb;Driver={Microsoft Access Driver (*.mdb)};DriverId=25;FIL=MS Access;MaxBufferSize=2048;MaxScanRows=8;PageTimeout=5;SafeTransactions=0;Threads=3;UserCommitSync=Yes;" command="SELECT Down_Ventas_2012_2013.anio, Down_Ventas_2012_2013.mes, Down_Ventas_2012_2013.empresa, Down_Ventas_2012_2013.tipodecomercializacion, Down_Ventas_2012_2013.subtipodecomercializacion, Down_Ventas_2012_2013.Producto, Down_Ventas_2012_2013.unidad, Down_Ventas_2012_2013.provincia, Down_Ventas_2012_2013.cantidad, Down_Ventas_2012_2013.monto, Down_Ventas_2012_2013.pais_x000d__x000a_FROM `C:\Sescoweb\sescoweb`.Down_Ventas_2012_2013 Down_Ventas_2012_2013"/>
  </connection>
  <connection id="2" xr16:uid="{00000000-0015-0000-FFFF-FFFF01000000}" name="Conexión91" type="1" refreshedVersion="2" saveData="1">
    <dbPr connection="DBQ=C:\Sescoweb\sescoweb.mdb;DefaultDir=C:\Sescoweb;Driver={Microsoft Access Driver (*.mdb)};DriverId=25;FIL=MS Access;MaxBufferSize=2048;MaxScanRows=8;PageTimeout=5;SafeTransactions=0;Threads=3;UserCommitSync=Yes;" command="SELECT Down_Ventas_2012_2013.anio, Down_Ventas_2012_2013.mes, Down_Ventas_2012_2013.empresa, Down_Ventas_2012_2013.tipodecomercializacion, Down_Ventas_2012_2013.subtipodecomercializacion, Down_Ventas_2012_2013.Producto, Down_Ventas_2012_2013.unidad, Down_Ventas_2012_2013.provincia, Down_Ventas_2012_2013.cantidad, Down_Ventas_2012_2013.monto, Down_Ventas_2012_2013.pais_x000d__x000a_FROM `C:\Sescoweb\sescoweb`.Down_Ventas_2012_2013 Down_Ventas_2012_2013"/>
  </connection>
</connections>
</file>

<file path=xl/sharedStrings.xml><?xml version="1.0" encoding="utf-8"?>
<sst xmlns="http://schemas.openxmlformats.org/spreadsheetml/2006/main" count="10726" uniqueCount="277">
  <si>
    <t>Bioetanol</t>
  </si>
  <si>
    <t>Biodiesel</t>
  </si>
  <si>
    <t>%</t>
  </si>
  <si>
    <t>Residencial</t>
  </si>
  <si>
    <t>ARGENTINA</t>
  </si>
  <si>
    <t>Energía</t>
  </si>
  <si>
    <t>Yacimiento</t>
  </si>
  <si>
    <t>Mina de carbón</t>
  </si>
  <si>
    <t>Gas  natural (mil m3)</t>
  </si>
  <si>
    <t>Carbón mineral (ton)</t>
  </si>
  <si>
    <t>Gas de refinería (mil m3)</t>
  </si>
  <si>
    <t>Industrias de la energía</t>
  </si>
  <si>
    <t>Fuel oil (ton)</t>
  </si>
  <si>
    <t>Gas  de alto horno (mil m3)</t>
  </si>
  <si>
    <t>Gas  de coquería (mil m3)</t>
  </si>
  <si>
    <t>Gas licuado (ton)</t>
  </si>
  <si>
    <t>Carbón residual (ton)</t>
  </si>
  <si>
    <t>Producción</t>
  </si>
  <si>
    <t>Transporte</t>
  </si>
  <si>
    <t>Fabricación de combustibles sólidos y otras industrias energéticas</t>
  </si>
  <si>
    <t>Fabricación de combustibles sólidos</t>
  </si>
  <si>
    <t>Otras industrias energéticas</t>
  </si>
  <si>
    <t>Industrias manufactureras y de la construcción</t>
  </si>
  <si>
    <t>1A2a</t>
  </si>
  <si>
    <t>1A1b</t>
  </si>
  <si>
    <t>1A1c</t>
  </si>
  <si>
    <t>1A1ci</t>
  </si>
  <si>
    <t>1A1cii</t>
  </si>
  <si>
    <t>1A2</t>
  </si>
  <si>
    <t>1A2b</t>
  </si>
  <si>
    <t>1A2c</t>
  </si>
  <si>
    <t>1A2d</t>
  </si>
  <si>
    <t>1A2e</t>
  </si>
  <si>
    <t>1A2f</t>
  </si>
  <si>
    <t>Otras</t>
  </si>
  <si>
    <t>Equipos de transporte</t>
  </si>
  <si>
    <t>Minerales no metálicos</t>
  </si>
  <si>
    <t>Madera y productos de madera</t>
  </si>
  <si>
    <t>Textiles y cueros</t>
  </si>
  <si>
    <t>Industria no especificada</t>
  </si>
  <si>
    <t>Hierro y acero</t>
  </si>
  <si>
    <t>Metales no ferrosos</t>
  </si>
  <si>
    <t>Productos químicos</t>
  </si>
  <si>
    <t>Pulpa, papel e imprenta</t>
  </si>
  <si>
    <t>1A</t>
  </si>
  <si>
    <t>Actividades de quema del combustible</t>
  </si>
  <si>
    <t>1A1</t>
  </si>
  <si>
    <t>1A1a</t>
  </si>
  <si>
    <t>Generación pública de electricidad y calor</t>
  </si>
  <si>
    <t>Refinación del petróleo</t>
  </si>
  <si>
    <t>1A3</t>
  </si>
  <si>
    <t>1A4</t>
  </si>
  <si>
    <t>1A5</t>
  </si>
  <si>
    <t>1A3a</t>
  </si>
  <si>
    <t>Aviación civil</t>
  </si>
  <si>
    <t>1A3b</t>
  </si>
  <si>
    <t>Transporte terrestre</t>
  </si>
  <si>
    <t>1A3c</t>
  </si>
  <si>
    <t>Ferrocarriles</t>
  </si>
  <si>
    <t>1A3d</t>
  </si>
  <si>
    <t>Navegación</t>
  </si>
  <si>
    <t>1A3e</t>
  </si>
  <si>
    <t>Otro tipo de transporte</t>
  </si>
  <si>
    <t>1A3ei</t>
  </si>
  <si>
    <t>Transporte por tuberías</t>
  </si>
  <si>
    <t>Todo terreno</t>
  </si>
  <si>
    <t>1A3eii</t>
  </si>
  <si>
    <t>Otros sectores</t>
  </si>
  <si>
    <t>1A4a</t>
  </si>
  <si>
    <t>Comercial/institucional</t>
  </si>
  <si>
    <t>1A4b</t>
  </si>
  <si>
    <t>1A4c</t>
  </si>
  <si>
    <t>Agricultura/Silvicultura/Pesca</t>
  </si>
  <si>
    <t>Otros</t>
  </si>
  <si>
    <t>1B</t>
  </si>
  <si>
    <t>Emisiones fugitivas provenientes de la fabricación de combustibles</t>
  </si>
  <si>
    <t>Combustible</t>
  </si>
  <si>
    <t>Leña</t>
  </si>
  <si>
    <t>Bagazo</t>
  </si>
  <si>
    <t>Kerosene y Aerokerosene</t>
  </si>
  <si>
    <t>1A3ai</t>
  </si>
  <si>
    <t>Aviación internacional</t>
  </si>
  <si>
    <t>1A3aii</t>
  </si>
  <si>
    <t>Cabotaje</t>
  </si>
  <si>
    <t>1A3di</t>
  </si>
  <si>
    <t>1A3dii</t>
  </si>
  <si>
    <t>Marina internacional</t>
  </si>
  <si>
    <t>Navegación nacional</t>
  </si>
  <si>
    <t>Fuel oil</t>
  </si>
  <si>
    <t>1B1</t>
  </si>
  <si>
    <t>1B1a</t>
  </si>
  <si>
    <t>Minas de carbón</t>
  </si>
  <si>
    <t>1B1ai</t>
  </si>
  <si>
    <t>Minas subterráneas</t>
  </si>
  <si>
    <t>Actividades de minería</t>
  </si>
  <si>
    <t>Actividades post-minería</t>
  </si>
  <si>
    <t>1B1aii</t>
  </si>
  <si>
    <t>Minas terrestres</t>
  </si>
  <si>
    <t>Consumo</t>
  </si>
  <si>
    <t>Combustibles sólidos</t>
  </si>
  <si>
    <t>GNC (mil m3)</t>
  </si>
  <si>
    <t>Estacionario</t>
  </si>
  <si>
    <t>Diesel oil / Gas oil</t>
  </si>
  <si>
    <t>Gas natural</t>
  </si>
  <si>
    <t>1A1ai</t>
  </si>
  <si>
    <t>Generación pública de electricidad</t>
  </si>
  <si>
    <t>Gas natural (mil m3)</t>
  </si>
  <si>
    <t>1A1aii</t>
  </si>
  <si>
    <t>Generación pública combinada de calor y energía</t>
  </si>
  <si>
    <t>1A1aiii</t>
  </si>
  <si>
    <t>Centrales públicas de calor</t>
  </si>
  <si>
    <t>Gas natural consumido en plantas industriales y centrales eléctricas</t>
  </si>
  <si>
    <t>Venteo</t>
  </si>
  <si>
    <t>Quema en antorcha</t>
  </si>
  <si>
    <t>1B2</t>
  </si>
  <si>
    <t>1B2a</t>
  </si>
  <si>
    <t>Petróleo</t>
  </si>
  <si>
    <t>Petróleo y gas natural</t>
  </si>
  <si>
    <t>1B2ai</t>
  </si>
  <si>
    <t>1B2aii</t>
  </si>
  <si>
    <t>1B2aiii</t>
  </si>
  <si>
    <t>1B2aiv</t>
  </si>
  <si>
    <t>1B2av</t>
  </si>
  <si>
    <t xml:space="preserve">1B2avi </t>
  </si>
  <si>
    <t>Exploración</t>
  </si>
  <si>
    <t xml:space="preserve">Producción </t>
  </si>
  <si>
    <t>Distribución de productos petrolíferos</t>
  </si>
  <si>
    <t>Petróleo (m3)</t>
  </si>
  <si>
    <t>Cantidad procesada</t>
  </si>
  <si>
    <t>1B2b</t>
  </si>
  <si>
    <t>1B2bi</t>
  </si>
  <si>
    <t>1B2bii</t>
  </si>
  <si>
    <t>1B2biii</t>
  </si>
  <si>
    <t>Producción/procesamiento</t>
  </si>
  <si>
    <t>Transmisión/distribución</t>
  </si>
  <si>
    <t>Otras fugas</t>
  </si>
  <si>
    <t>1B2c</t>
  </si>
  <si>
    <t>1B2ci</t>
  </si>
  <si>
    <t>Venteo y quema en antorcha</t>
  </si>
  <si>
    <t>1B2cii</t>
  </si>
  <si>
    <t>1B2ciii</t>
  </si>
  <si>
    <t>Gas</t>
  </si>
  <si>
    <t>Combinado (en caso de que no pueda separarse petróleo de gas)</t>
  </si>
  <si>
    <t>Gas natural consumido en residencial y comercial/público</t>
  </si>
  <si>
    <t>Producción (por buques)</t>
  </si>
  <si>
    <t>Producción (por ductos)</t>
  </si>
  <si>
    <t>Público de pasajeros</t>
  </si>
  <si>
    <t>Carretero privado</t>
  </si>
  <si>
    <t>1B1b</t>
  </si>
  <si>
    <t>1A5a</t>
  </si>
  <si>
    <t>1A5b</t>
  </si>
  <si>
    <t>Móvil</t>
  </si>
  <si>
    <t>1B1c</t>
  </si>
  <si>
    <t>Transformación de combustibles sólidos</t>
  </si>
  <si>
    <t>Refinación</t>
  </si>
  <si>
    <t>Procesamiento</t>
  </si>
  <si>
    <t>Distribución</t>
  </si>
  <si>
    <t>Pozos perforados (exploración)</t>
  </si>
  <si>
    <t>Pozos perforados (avanzada)</t>
  </si>
  <si>
    <t>Pozos perforados (explotación)</t>
  </si>
  <si>
    <t>Almacenamiento</t>
  </si>
  <si>
    <t>Refinación/almacenamiento</t>
  </si>
  <si>
    <t>Gas licuado (m3)</t>
  </si>
  <si>
    <t>Transmisión</t>
  </si>
  <si>
    <t>Cantidad inyectada a sistema de transporte</t>
  </si>
  <si>
    <t>Cantidad inyectada a sistema de distribución</t>
  </si>
  <si>
    <t>IPCC 2006</t>
  </si>
  <si>
    <t>IPCC 1996</t>
  </si>
  <si>
    <t>FACTORES DE EMISION</t>
  </si>
  <si>
    <t>PCI</t>
  </si>
  <si>
    <r>
      <t>FE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</si>
  <si>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FE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</si>
  <si>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FE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</si>
  <si>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FE 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</si>
  <si>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FE CO</t>
  </si>
  <si>
    <t>FE COVNM</t>
  </si>
  <si>
    <r>
      <t>FE 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</si>
  <si>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Oxidación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</si>
  <si>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</si>
  <si>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</si>
  <si>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r>
      <t>kgNO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/TJ</t>
    </r>
  </si>
  <si>
    <r>
      <t>kgCO</t>
    </r>
    <r>
      <rPr>
        <b/>
        <sz val="11"/>
        <color theme="1"/>
        <rFont val="Calibri"/>
        <family val="2"/>
        <scheme val="minor"/>
      </rPr>
      <t>/TJ</t>
    </r>
  </si>
  <si>
    <r>
      <t>kgCOVNM</t>
    </r>
    <r>
      <rPr>
        <b/>
        <sz val="11"/>
        <color theme="1"/>
        <rFont val="Calibri"/>
        <family val="2"/>
        <scheme val="minor"/>
      </rPr>
      <t>/TJ</t>
    </r>
  </si>
  <si>
    <r>
      <t>kgSO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</si>
  <si>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t>-</t>
  </si>
  <si>
    <t>kgCO/TJ</t>
  </si>
  <si>
    <t>kgCOVNM/TJ</t>
  </si>
  <si>
    <t>Nacional</t>
  </si>
  <si>
    <t>PARAMETROS Y FACTORES DE EMISION</t>
  </si>
  <si>
    <t>% C</t>
  </si>
  <si>
    <t>Densidad</t>
  </si>
  <si>
    <r>
      <t>FE C</t>
    </r>
    <r>
      <rPr>
        <sz val="11"/>
        <color theme="1"/>
        <rFont val="Calibri"/>
        <family val="2"/>
        <scheme val="minor"/>
      </rPr>
      <t/>
    </r>
  </si>
  <si>
    <t>% S</t>
  </si>
  <si>
    <t>tC/TJ</t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</si>
  <si>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</si>
  <si>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t>Carbón mineral nac</t>
  </si>
  <si>
    <t>Carbón mineral imp</t>
  </si>
  <si>
    <t xml:space="preserve">Carbón mineral </t>
  </si>
  <si>
    <t>Coque carbón residual</t>
  </si>
  <si>
    <t>Coque de carbón mineral</t>
  </si>
  <si>
    <t>Carbón residual</t>
  </si>
  <si>
    <t>Líquidos de gas natural (gasolina+GLP)</t>
  </si>
  <si>
    <t>Bitumen (asfaltos)</t>
  </si>
  <si>
    <t>Lubricantes</t>
  </si>
  <si>
    <t>Grasas, solventes y aguarrás</t>
  </si>
  <si>
    <t>GLP</t>
  </si>
  <si>
    <t>Nafta motor (gasolina)</t>
  </si>
  <si>
    <t>kerosene</t>
  </si>
  <si>
    <t>Nafta virgen</t>
  </si>
  <si>
    <t>Etano</t>
  </si>
  <si>
    <t>Gas de coque</t>
  </si>
  <si>
    <t>Gas de refinería</t>
  </si>
  <si>
    <t>Gas de alto horno</t>
  </si>
  <si>
    <t>Carbón de leña</t>
  </si>
  <si>
    <t>Otros primarios</t>
  </si>
  <si>
    <r>
      <t>kg/m</t>
    </r>
    <r>
      <rPr>
        <vertAlign val="superscript"/>
        <sz val="11"/>
        <color theme="3"/>
        <rFont val="Calibri"/>
        <family val="2"/>
        <scheme val="minor"/>
      </rPr>
      <t>3</t>
    </r>
    <r>
      <rPr>
        <sz val="11"/>
        <color theme="3"/>
        <rFont val="Calibri"/>
        <family val="2"/>
        <scheme val="minor"/>
      </rPr>
      <t xml:space="preserve"> para combustibles gaseosos (códigos 300)</t>
    </r>
  </si>
  <si>
    <t>POTENCIAL DE CALENTAMIENTO GLOBAL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</si>
  <si>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</si>
  <si>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</si>
  <si>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</si>
  <si>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e/tGEI</t>
    </r>
  </si>
  <si>
    <t>Equivalencias</t>
  </si>
  <si>
    <t>TJ/kTEP</t>
  </si>
  <si>
    <t>kJ/kcal</t>
  </si>
  <si>
    <t>GJ/t (1000m3)</t>
  </si>
  <si>
    <t>GgCO/u</t>
  </si>
  <si>
    <t>GgCOVNM/u</t>
  </si>
  <si>
    <r>
      <t>GgCO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/u</t>
    </r>
  </si>
  <si>
    <r>
      <t>GgCH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/u</t>
    </r>
  </si>
  <si>
    <r>
      <t>GgN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O/u</t>
    </r>
  </si>
  <si>
    <r>
      <t>GgNO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/u</t>
    </r>
  </si>
  <si>
    <r>
      <t>GgSO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/u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</si>
  <si>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</si>
  <si>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CO</t>
  </si>
  <si>
    <t>COVNM</t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</si>
  <si>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</si>
  <si>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</si>
  <si>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</si>
  <si>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tCH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</si>
  <si>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tN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</si>
  <si>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tNO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</si>
  <si>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tCO</t>
  </si>
  <si>
    <t>tCOVNM</t>
  </si>
  <si>
    <r>
      <t>tSO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</si>
  <si>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</t>
    </r>
  </si>
  <si>
    <r>
      <t>GJ/t (1000m3)</t>
    </r>
    <r>
      <rPr>
        <b/>
        <vertAlign val="superscript"/>
        <sz val="9"/>
        <color theme="1"/>
        <rFont val="Calibri"/>
        <family val="2"/>
        <scheme val="minor"/>
      </rPr>
      <t>3</t>
    </r>
  </si>
  <si>
    <r>
      <t xml:space="preserve"> kg/l (m3) </t>
    </r>
    <r>
      <rPr>
        <b/>
        <vertAlign val="superscript"/>
        <sz val="9"/>
        <color theme="1"/>
        <rFont val="Calibri"/>
        <family val="2"/>
        <scheme val="minor"/>
      </rPr>
      <t>1</t>
    </r>
  </si>
  <si>
    <r>
      <t>Procesamiento de aliment</t>
    </r>
    <r>
      <rPr>
        <b/>
        <sz val="11"/>
        <rFont val="Calibri"/>
        <family val="2"/>
        <scheme val="minor"/>
      </rPr>
      <t>os, bebidas y tabaco</t>
    </r>
  </si>
  <si>
    <t>Carbón mineral (t)</t>
  </si>
  <si>
    <t>Diesel oil y Gas oil (t)</t>
  </si>
  <si>
    <t>Fuel oil (t)</t>
  </si>
  <si>
    <t>Biodiesel (t)</t>
  </si>
  <si>
    <t>Kerosene y Aerokerosene (t)</t>
  </si>
  <si>
    <t>Carbón residual (t)</t>
  </si>
  <si>
    <t>Coque de carbón (t)</t>
  </si>
  <si>
    <t>Gas licuado (t)</t>
  </si>
  <si>
    <t>Otros primarios (t)</t>
  </si>
  <si>
    <t>Bagazo (t)</t>
  </si>
  <si>
    <t>Leña (t)</t>
  </si>
  <si>
    <t>Bioetanol (t)</t>
  </si>
  <si>
    <t>Carbón de leña (t)</t>
  </si>
  <si>
    <t>Carbón no lavado (t)</t>
  </si>
  <si>
    <r>
      <t>Emisiones de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 origen biogénico por método sectorial</t>
    </r>
  </si>
  <si>
    <t>SCN</t>
  </si>
  <si>
    <t>Procesamiento de alimentos, bebidas y tabaco</t>
  </si>
  <si>
    <t>% reten.</t>
  </si>
  <si>
    <r>
      <t xml:space="preserve">% </t>
    </r>
    <r>
      <rPr>
        <b/>
        <sz val="11"/>
        <color theme="1"/>
        <rFont val="Trebuchet MS"/>
        <family val="2"/>
      </rPr>
      <t>η</t>
    </r>
  </si>
  <si>
    <t>Diferencia inventario Segunda Comunicación Nacional</t>
  </si>
  <si>
    <t>Motonafta (t)</t>
  </si>
  <si>
    <t>Petróleo (t)</t>
  </si>
  <si>
    <t>Motonafta (m3)</t>
  </si>
  <si>
    <r>
      <t>GJ/1000 m</t>
    </r>
    <r>
      <rPr>
        <vertAlign val="superscript"/>
        <sz val="11"/>
        <color theme="3"/>
        <rFont val="Calibri"/>
        <family val="2"/>
        <scheme val="minor"/>
      </rPr>
      <t xml:space="preserve">3 </t>
    </r>
    <r>
      <rPr>
        <sz val="11"/>
        <color theme="3"/>
        <rFont val="Calibri"/>
        <family val="2"/>
        <scheme val="minor"/>
      </rPr>
      <t>para combustibles gaseosos (códigos 300)</t>
    </r>
  </si>
  <si>
    <t>Otros consumos en industrias de 1A1c y 1A2</t>
  </si>
  <si>
    <r>
      <t>Emisiones de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eq por transporte internacional</t>
    </r>
  </si>
  <si>
    <t>Navegación marítima y fluvial internacional</t>
  </si>
  <si>
    <r>
      <t xml:space="preserve">kcal/kg (m3) </t>
    </r>
    <r>
      <rPr>
        <b/>
        <vertAlign val="superscript"/>
        <sz val="9"/>
        <color theme="1"/>
        <rFont val="Calibri"/>
        <family val="2"/>
        <scheme val="minor"/>
      </rPr>
      <t>2</t>
    </r>
  </si>
  <si>
    <r>
      <t>kcal/ m</t>
    </r>
    <r>
      <rPr>
        <vertAlign val="superscript"/>
        <sz val="11"/>
        <color theme="3"/>
        <rFont val="Calibri"/>
        <family val="2"/>
        <scheme val="minor"/>
      </rPr>
      <t xml:space="preserve">3 </t>
    </r>
    <r>
      <rPr>
        <sz val="11"/>
        <color theme="3"/>
        <rFont val="Calibri"/>
        <family val="2"/>
        <scheme val="minor"/>
      </rPr>
      <t>para combustibles gaseosos (códigos 300)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</si>
</sst>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%"/>
    <numFmt numFmtId="166" formatCode="0.0"/>
    <numFmt numFmtId="167" formatCode="#,##0.000000"/>
    <numFmt numFmtId="168" formatCode="0.000000"/>
    <numFmt numFmtId="169" formatCode="0.0000"/>
    <numFmt numFmtId="170" formatCode="#,##0.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3" fontId="0" fillId="0" borderId="1" xfId="0" applyNumberFormat="1" applyBorder="1"/>
    <xf numFmtId="3" fontId="0" fillId="0" borderId="1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0" fillId="3" borderId="1" xfId="0" applyNumberFormat="1" applyFill="1" applyBorder="1"/>
    <xf numFmtId="0" fontId="1" fillId="0" borderId="0" xfId="0" applyFont="1" applyAlignment="1">
      <alignment horizontal="right"/>
    </xf>
    <xf numFmtId="0" fontId="0" fillId="0" borderId="0" xfId="0" applyFont="1"/>
    <xf numFmtId="3" fontId="0" fillId="0" borderId="1" xfId="0" applyNumberFormat="1" applyFont="1" applyBorder="1"/>
    <xf numFmtId="3" fontId="0" fillId="3" borderId="1" xfId="0" applyNumberFormat="1" applyFont="1" applyFill="1" applyBorder="1"/>
    <xf numFmtId="0" fontId="10" fillId="0" borderId="0" xfId="0" applyFont="1" applyFill="1" applyBorder="1" applyAlignment="1">
      <alignment vertical="top"/>
    </xf>
    <xf numFmtId="3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2" fontId="0" fillId="0" borderId="1" xfId="0" applyNumberFormat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/>
    <xf numFmtId="3" fontId="0" fillId="0" borderId="4" xfId="0" applyNumberFormat="1" applyBorder="1"/>
    <xf numFmtId="0" fontId="0" fillId="0" borderId="1" xfId="0" applyFont="1" applyBorder="1"/>
    <xf numFmtId="0" fontId="0" fillId="0" borderId="0" xfId="0" applyFont="1" applyFill="1"/>
    <xf numFmtId="0" fontId="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right" vertical="center" wrapText="1"/>
    </xf>
    <xf numFmtId="3" fontId="0" fillId="0" borderId="1" xfId="0" applyNumberFormat="1" applyFont="1" applyFill="1" applyBorder="1"/>
    <xf numFmtId="3" fontId="1" fillId="0" borderId="1" xfId="0" applyNumberFormat="1" applyFont="1" applyFill="1" applyBorder="1"/>
    <xf numFmtId="4" fontId="0" fillId="0" borderId="1" xfId="0" applyNumberFormat="1" applyFont="1" applyFill="1" applyBorder="1"/>
    <xf numFmtId="0" fontId="3" fillId="0" borderId="0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5" borderId="1" xfId="0" applyFont="1" applyFill="1" applyBorder="1" applyAlignment="1">
      <alignment horizontal="center" vertical="center"/>
    </xf>
    <xf numFmtId="0" fontId="16" fillId="0" borderId="0" xfId="0" applyFont="1" applyFill="1"/>
    <xf numFmtId="0" fontId="1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0" xfId="0" applyNumberFormat="1" applyFont="1"/>
    <xf numFmtId="10" fontId="0" fillId="0" borderId="0" xfId="0" applyNumberFormat="1"/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0" fontId="13" fillId="0" borderId="0" xfId="0" applyNumberFormat="1" applyFont="1"/>
    <xf numFmtId="166" fontId="0" fillId="0" borderId="1" xfId="0" applyNumberFormat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0" xfId="0" applyFont="1" applyFill="1" applyBorder="1" applyAlignment="1">
      <alignment vertical="top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0" fillId="5" borderId="7" xfId="0" applyFill="1" applyBorder="1"/>
    <xf numFmtId="0" fontId="1" fillId="0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0" fillId="5" borderId="8" xfId="0" applyFill="1" applyBorder="1"/>
    <xf numFmtId="0" fontId="0" fillId="5" borderId="5" xfId="0" applyFill="1" applyBorder="1"/>
    <xf numFmtId="0" fontId="0" fillId="0" borderId="3" xfId="0" applyBorder="1"/>
    <xf numFmtId="0" fontId="14" fillId="0" borderId="1" xfId="0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0" fontId="20" fillId="0" borderId="0" xfId="0" applyFon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0" fontId="20" fillId="0" borderId="0" xfId="0" applyFont="1"/>
    <xf numFmtId="0" fontId="22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vertical="top"/>
    </xf>
    <xf numFmtId="0" fontId="20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14" fillId="0" borderId="1" xfId="0" applyNumberFormat="1" applyFont="1" applyFill="1" applyBorder="1"/>
    <xf numFmtId="168" fontId="14" fillId="0" borderId="0" xfId="0" applyNumberFormat="1" applyFont="1" applyFill="1"/>
    <xf numFmtId="168" fontId="14" fillId="0" borderId="1" xfId="0" applyNumberFormat="1" applyFont="1" applyFill="1" applyBorder="1"/>
    <xf numFmtId="3" fontId="0" fillId="0" borderId="2" xfId="0" applyNumberFormat="1" applyFont="1" applyFill="1" applyBorder="1"/>
    <xf numFmtId="0" fontId="16" fillId="0" borderId="1" xfId="0" applyFont="1" applyFill="1" applyBorder="1" applyAlignment="1">
      <alignment vertical="top"/>
    </xf>
    <xf numFmtId="169" fontId="14" fillId="0" borderId="0" xfId="0" applyNumberFormat="1" applyFont="1" applyFill="1"/>
    <xf numFmtId="169" fontId="14" fillId="0" borderId="1" xfId="0" applyNumberFormat="1" applyFont="1" applyFill="1" applyBorder="1" applyAlignment="1">
      <alignment vertical="top"/>
    </xf>
    <xf numFmtId="168" fontId="16" fillId="0" borderId="1" xfId="0" applyNumberFormat="1" applyFont="1" applyFill="1" applyBorder="1"/>
    <xf numFmtId="168" fontId="16" fillId="0" borderId="1" xfId="0" applyNumberFormat="1" applyFont="1" applyFill="1" applyBorder="1" applyAlignment="1">
      <alignment vertical="top"/>
    </xf>
    <xf numFmtId="168" fontId="16" fillId="0" borderId="0" xfId="0" applyNumberFormat="1" applyFont="1" applyFill="1" applyBorder="1" applyAlignment="1">
      <alignment vertical="top"/>
    </xf>
    <xf numFmtId="3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170" fontId="16" fillId="0" borderId="1" xfId="0" applyNumberFormat="1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center"/>
    </xf>
    <xf numFmtId="0" fontId="8" fillId="0" borderId="0" xfId="0" applyFont="1"/>
    <xf numFmtId="4" fontId="14" fillId="0" borderId="1" xfId="0" applyNumberFormat="1" applyFont="1" applyFill="1" applyBorder="1" applyAlignment="1">
      <alignment horizontal="center"/>
    </xf>
    <xf numFmtId="4" fontId="14" fillId="4" borderId="1" xfId="0" applyNumberFormat="1" applyFont="1" applyFill="1" applyBorder="1" applyAlignment="1">
      <alignment horizontal="center"/>
    </xf>
    <xf numFmtId="0" fontId="16" fillId="0" borderId="0" xfId="0" applyFont="1"/>
    <xf numFmtId="3" fontId="16" fillId="4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right"/>
    </xf>
    <xf numFmtId="0" fontId="8" fillId="8" borderId="0" xfId="0" applyFont="1" applyFill="1"/>
    <xf numFmtId="0" fontId="3" fillId="8" borderId="0" xfId="0" applyFont="1" applyFill="1"/>
    <xf numFmtId="0" fontId="21" fillId="8" borderId="0" xfId="0" applyFont="1" applyFill="1"/>
    <xf numFmtId="3" fontId="8" fillId="8" borderId="1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right"/>
    </xf>
    <xf numFmtId="0" fontId="1" fillId="10" borderId="0" xfId="0" applyFont="1" applyFill="1"/>
    <xf numFmtId="0" fontId="0" fillId="10" borderId="0" xfId="0" applyFont="1" applyFill="1"/>
    <xf numFmtId="0" fontId="20" fillId="10" borderId="0" xfId="0" applyFont="1" applyFill="1"/>
    <xf numFmtId="3" fontId="8" fillId="10" borderId="1" xfId="0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7" borderId="0" xfId="0" applyFont="1" applyFill="1"/>
    <xf numFmtId="0" fontId="20" fillId="7" borderId="0" xfId="0" applyFont="1" applyFill="1"/>
    <xf numFmtId="3" fontId="8" fillId="7" borderId="1" xfId="0" applyNumberFormat="1" applyFont="1" applyFill="1" applyBorder="1" applyAlignment="1">
      <alignment horizontal="center" vertical="center" wrapText="1"/>
    </xf>
    <xf numFmtId="0" fontId="24" fillId="9" borderId="0" xfId="0" applyFont="1" applyFill="1"/>
    <xf numFmtId="0" fontId="25" fillId="9" borderId="0" xfId="0" applyFont="1" applyFill="1"/>
    <xf numFmtId="0" fontId="28" fillId="9" borderId="0" xfId="0" applyFont="1" applyFill="1"/>
    <xf numFmtId="3" fontId="24" fillId="9" borderId="1" xfId="0" applyNumberFormat="1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0" borderId="0" xfId="3" applyNumberFormat="1" applyFont="1" applyFill="1" applyBorder="1" applyAlignment="1">
      <alignment horizontal="center" vertical="center"/>
    </xf>
    <xf numFmtId="0" fontId="0" fillId="6" borderId="0" xfId="0" applyFont="1" applyFill="1"/>
    <xf numFmtId="0" fontId="20" fillId="6" borderId="0" xfId="0" applyFont="1" applyFill="1"/>
    <xf numFmtId="0" fontId="30" fillId="6" borderId="0" xfId="0" applyFont="1" applyFill="1"/>
    <xf numFmtId="0" fontId="31" fillId="6" borderId="0" xfId="0" applyFont="1" applyFill="1"/>
    <xf numFmtId="9" fontId="30" fillId="6" borderId="0" xfId="3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3" fontId="0" fillId="3" borderId="4" xfId="0" applyNumberFormat="1" applyFill="1" applyBorder="1"/>
    <xf numFmtId="3" fontId="0" fillId="0" borderId="4" xfId="0" applyNumberFormat="1" applyFill="1" applyBorder="1"/>
    <xf numFmtId="0" fontId="0" fillId="0" borderId="4" xfId="0" applyFill="1" applyBorder="1"/>
    <xf numFmtId="3" fontId="1" fillId="0" borderId="1" xfId="0" applyNumberFormat="1" applyFont="1" applyFill="1" applyBorder="1" applyAlignment="1">
      <alignment horizontal="right"/>
    </xf>
    <xf numFmtId="3" fontId="0" fillId="3" borderId="4" xfId="0" applyNumberFormat="1" applyFont="1" applyFill="1" applyBorder="1"/>
    <xf numFmtId="3" fontId="0" fillId="0" borderId="4" xfId="0" applyNumberFormat="1" applyFont="1" applyFill="1" applyBorder="1"/>
    <xf numFmtId="3" fontId="0" fillId="0" borderId="4" xfId="0" applyNumberFormat="1" applyFont="1" applyBorder="1"/>
    <xf numFmtId="0" fontId="1" fillId="0" borderId="1" xfId="0" applyFont="1" applyFill="1" applyBorder="1" applyAlignment="1">
      <alignment horizontal="right"/>
    </xf>
    <xf numFmtId="3" fontId="0" fillId="2" borderId="1" xfId="0" applyNumberFormat="1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/>
    <xf numFmtId="0" fontId="1" fillId="5" borderId="8" xfId="0" applyFont="1" applyFill="1" applyBorder="1"/>
    <xf numFmtId="0" fontId="0" fillId="5" borderId="8" xfId="0" applyFont="1" applyFill="1" applyBorder="1"/>
    <xf numFmtId="0" fontId="0" fillId="5" borderId="5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Millares 3" xfId="4" xr:uid="{00000000-0005-0000-0000-000006000000}"/>
    <cellStyle name="Normal" xfId="0" builtinId="0"/>
    <cellStyle name="Normal 2" xfId="2" xr:uid="{00000000-0005-0000-0000-000008000000}"/>
    <cellStyle name="Normal 3" xfId="1" xr:uid="{00000000-0005-0000-0000-000009000000}"/>
    <cellStyle name="Percent" xfId="3" builtinId="5"/>
  </cellStyles>
  <dxfs count="0"/>
  <tableStyles count="0" defaultTableStyle="TableStyleMedium9" defaultPivotStyle="PivotStyleLight16"/>
  <colors>
    <mruColors>
      <color rgb="FFC80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6"/>
  <sheetViews>
    <sheetView zoomScale="80" zoomScaleNormal="80" zoomScalePageLayoutView="80" workbookViewId="0">
      <pane ySplit="1" topLeftCell="A2" activePane="bottomLeft" state="frozen"/>
      <selection pane="bottomLeft" activeCell="N25" sqref="N25"/>
    </sheetView>
  </sheetViews>
  <sheetFormatPr defaultColWidth="11.42578125" defaultRowHeight="15" x14ac:dyDescent="0.25"/>
  <cols>
    <col min="2" max="3" width="2.7109375" customWidth="1"/>
    <col min="4" max="4" width="5.28515625" style="11" customWidth="1"/>
    <col min="5" max="5" width="37.7109375" customWidth="1"/>
    <col min="6" max="6" width="3.85546875" customWidth="1"/>
    <col min="7" max="7" width="25.28515625" customWidth="1"/>
    <col min="8" max="8" width="11.7109375" customWidth="1"/>
  </cols>
  <sheetData>
    <row r="1" spans="1:27" s="163" customFormat="1" ht="29.25" customHeight="1" x14ac:dyDescent="0.25">
      <c r="D1" s="164"/>
      <c r="H1" s="165">
        <v>2011</v>
      </c>
      <c r="I1" s="165">
        <v>2009</v>
      </c>
      <c r="J1" s="165">
        <v>2008</v>
      </c>
      <c r="K1" s="165">
        <v>2007</v>
      </c>
      <c r="L1" s="165">
        <v>2006</v>
      </c>
      <c r="M1" s="165">
        <v>2005</v>
      </c>
      <c r="N1" s="165">
        <v>2004</v>
      </c>
      <c r="O1" s="165">
        <v>2003</v>
      </c>
      <c r="P1" s="165">
        <v>2002</v>
      </c>
      <c r="Q1" s="165">
        <v>2001</v>
      </c>
      <c r="R1" s="165">
        <v>1999</v>
      </c>
      <c r="S1" s="165">
        <v>1998</v>
      </c>
      <c r="T1" s="165">
        <v>1997</v>
      </c>
      <c r="U1" s="165">
        <v>1996</v>
      </c>
      <c r="V1" s="165">
        <v>1995</v>
      </c>
      <c r="W1" s="165">
        <v>1994</v>
      </c>
      <c r="X1" s="165">
        <v>1993</v>
      </c>
      <c r="Y1" s="165">
        <v>1992</v>
      </c>
      <c r="Z1" s="165">
        <v>1991</v>
      </c>
      <c r="AA1" s="165">
        <v>1990</v>
      </c>
    </row>
    <row r="2" spans="1:27" x14ac:dyDescent="0.25">
      <c r="A2" s="10" t="s">
        <v>44</v>
      </c>
      <c r="B2" s="1" t="s">
        <v>45</v>
      </c>
      <c r="H2" s="149"/>
      <c r="I2" s="149"/>
      <c r="J2" s="149"/>
      <c r="K2" s="149"/>
      <c r="L2" s="150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spans="1:27" x14ac:dyDescent="0.25">
      <c r="A3" s="10" t="s">
        <v>46</v>
      </c>
      <c r="B3" s="1" t="s">
        <v>11</v>
      </c>
      <c r="H3" s="149"/>
      <c r="I3" s="149"/>
      <c r="J3" s="149"/>
      <c r="K3" s="149"/>
      <c r="L3" s="150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49"/>
      <c r="X3" s="149"/>
      <c r="Y3" s="149"/>
      <c r="Z3" s="149"/>
      <c r="AA3" s="149"/>
    </row>
    <row r="4" spans="1:27" x14ac:dyDescent="0.25">
      <c r="A4" s="10" t="s">
        <v>47</v>
      </c>
      <c r="B4" s="1" t="s">
        <v>48</v>
      </c>
      <c r="H4" s="149"/>
      <c r="I4" s="149"/>
      <c r="J4" s="149"/>
      <c r="K4" s="149"/>
      <c r="L4" s="150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 spans="1:27" x14ac:dyDescent="0.25">
      <c r="A5" s="10" t="s">
        <v>104</v>
      </c>
      <c r="B5" s="1" t="s">
        <v>105</v>
      </c>
      <c r="H5" s="149"/>
      <c r="I5" s="149"/>
      <c r="J5" s="149"/>
      <c r="K5" s="149"/>
      <c r="L5" s="150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1"/>
      <c r="X5" s="149"/>
      <c r="Y5" s="149"/>
      <c r="Z5" s="149"/>
      <c r="AA5" s="151"/>
    </row>
    <row r="6" spans="1:27" x14ac:dyDescent="0.25">
      <c r="A6" s="10"/>
      <c r="B6" s="1"/>
      <c r="D6" s="11">
        <v>103</v>
      </c>
      <c r="E6" s="11" t="s">
        <v>98</v>
      </c>
      <c r="F6" t="s">
        <v>248</v>
      </c>
      <c r="H6" s="9">
        <v>998592</v>
      </c>
      <c r="I6" s="9">
        <v>714734</v>
      </c>
      <c r="J6" s="9">
        <v>803416</v>
      </c>
      <c r="K6" s="9">
        <v>589120</v>
      </c>
      <c r="L6" s="152">
        <v>553634</v>
      </c>
      <c r="M6" s="9">
        <v>610124</v>
      </c>
      <c r="N6" s="9">
        <v>357926</v>
      </c>
      <c r="O6" s="9">
        <v>71254</v>
      </c>
      <c r="P6" s="9">
        <v>64818</v>
      </c>
      <c r="Q6" s="9">
        <v>224243</v>
      </c>
      <c r="R6" s="9">
        <v>541576</v>
      </c>
      <c r="S6" s="9">
        <v>427865</v>
      </c>
      <c r="T6" s="13">
        <v>401265</v>
      </c>
      <c r="U6" s="9">
        <v>554010</v>
      </c>
      <c r="V6" s="9">
        <v>709953</v>
      </c>
      <c r="W6" s="9">
        <v>907375</v>
      </c>
      <c r="X6" s="9">
        <v>332827</v>
      </c>
      <c r="Y6" s="9">
        <v>240930</v>
      </c>
      <c r="Z6" s="9">
        <v>289202</v>
      </c>
      <c r="AA6" s="9">
        <v>154424</v>
      </c>
    </row>
    <row r="7" spans="1:27" x14ac:dyDescent="0.25">
      <c r="A7" s="10"/>
      <c r="B7" s="1"/>
      <c r="D7" s="11">
        <v>206</v>
      </c>
      <c r="E7" s="11" t="s">
        <v>98</v>
      </c>
      <c r="F7" s="11" t="s">
        <v>249</v>
      </c>
      <c r="H7" s="9">
        <v>1812505</v>
      </c>
      <c r="I7" s="9">
        <v>867339.39500000002</v>
      </c>
      <c r="J7" s="9">
        <v>761404.66</v>
      </c>
      <c r="K7" s="9">
        <v>728503</v>
      </c>
      <c r="L7" s="152">
        <v>203251</v>
      </c>
      <c r="M7" s="9">
        <v>94855</v>
      </c>
      <c r="N7" s="9">
        <v>128179</v>
      </c>
      <c r="O7" s="9">
        <v>77555</v>
      </c>
      <c r="P7" s="9">
        <v>71486</v>
      </c>
      <c r="Q7" s="9">
        <v>83668</v>
      </c>
      <c r="R7" s="9">
        <v>121214</v>
      </c>
      <c r="S7" s="9">
        <v>135018</v>
      </c>
      <c r="T7" s="13">
        <v>103480</v>
      </c>
      <c r="U7" s="9">
        <v>189446</v>
      </c>
      <c r="V7" s="9">
        <v>212491</v>
      </c>
      <c r="W7" s="9">
        <v>251372</v>
      </c>
      <c r="X7" s="9">
        <v>302124</v>
      </c>
      <c r="Y7" s="9">
        <v>392373</v>
      </c>
      <c r="Z7" s="9">
        <v>530983</v>
      </c>
      <c r="AA7" s="9">
        <v>437473</v>
      </c>
    </row>
    <row r="8" spans="1:27" x14ac:dyDescent="0.25">
      <c r="A8" s="10"/>
      <c r="B8" s="1"/>
      <c r="D8" s="11">
        <v>207</v>
      </c>
      <c r="E8" s="11" t="s">
        <v>98</v>
      </c>
      <c r="F8" s="11" t="s">
        <v>250</v>
      </c>
      <c r="H8" s="9">
        <v>2518619.7220000001</v>
      </c>
      <c r="I8" s="9">
        <v>1597971.2</v>
      </c>
      <c r="J8" s="9">
        <v>2333536.89</v>
      </c>
      <c r="K8" s="9">
        <v>1868697</v>
      </c>
      <c r="L8" s="152">
        <v>1529303</v>
      </c>
      <c r="M8" s="9">
        <v>1127540</v>
      </c>
      <c r="N8" s="9">
        <v>824480</v>
      </c>
      <c r="O8" s="9">
        <v>121677</v>
      </c>
      <c r="P8" s="9">
        <v>39975</v>
      </c>
      <c r="Q8" s="9">
        <v>147163</v>
      </c>
      <c r="R8" s="9">
        <v>837775</v>
      </c>
      <c r="S8" s="9">
        <v>837070</v>
      </c>
      <c r="T8" s="13">
        <v>370704</v>
      </c>
      <c r="U8" s="9">
        <v>615478</v>
      </c>
      <c r="V8" s="9">
        <v>477557</v>
      </c>
      <c r="W8" s="9">
        <v>837471</v>
      </c>
      <c r="X8" s="9">
        <v>1327511</v>
      </c>
      <c r="Y8" s="9">
        <v>1482355</v>
      </c>
      <c r="Z8" s="9">
        <v>1608793</v>
      </c>
      <c r="AA8" s="9">
        <v>1007964</v>
      </c>
    </row>
    <row r="9" spans="1:27" x14ac:dyDescent="0.25">
      <c r="A9" s="10"/>
      <c r="B9" s="1"/>
      <c r="D9" s="11">
        <v>301</v>
      </c>
      <c r="E9" s="11" t="s">
        <v>98</v>
      </c>
      <c r="F9" t="s">
        <v>106</v>
      </c>
      <c r="H9" s="9">
        <v>13057009</v>
      </c>
      <c r="I9" s="9">
        <v>12986776.379999999</v>
      </c>
      <c r="J9" s="9">
        <v>13314954.609999999</v>
      </c>
      <c r="K9" s="9">
        <v>12374863</v>
      </c>
      <c r="L9" s="152">
        <v>11807390</v>
      </c>
      <c r="M9" s="9">
        <v>11455278</v>
      </c>
      <c r="N9" s="9">
        <v>10912786</v>
      </c>
      <c r="O9" s="9">
        <v>9509785</v>
      </c>
      <c r="P9" s="9">
        <v>8014517</v>
      </c>
      <c r="Q9" s="9">
        <v>9081047</v>
      </c>
      <c r="R9" s="9">
        <v>10862335</v>
      </c>
      <c r="S9" s="9">
        <v>8595455</v>
      </c>
      <c r="T9" s="13">
        <v>8468918</v>
      </c>
      <c r="U9" s="9">
        <v>8860426</v>
      </c>
      <c r="V9" s="9">
        <v>7260273</v>
      </c>
      <c r="W9" s="9">
        <v>6007075</v>
      </c>
      <c r="X9" s="9">
        <v>5898694</v>
      </c>
      <c r="Y9" s="9">
        <v>5702467</v>
      </c>
      <c r="Z9" s="9">
        <v>5862617</v>
      </c>
      <c r="AA9" s="9">
        <v>5365644</v>
      </c>
    </row>
    <row r="10" spans="1:27" x14ac:dyDescent="0.25">
      <c r="A10" s="10"/>
      <c r="B10" s="1"/>
      <c r="D10" s="11">
        <v>405</v>
      </c>
      <c r="E10" s="11" t="s">
        <v>98</v>
      </c>
      <c r="F10" s="2" t="s">
        <v>251</v>
      </c>
      <c r="H10" s="9">
        <v>4802</v>
      </c>
      <c r="I10" s="6"/>
      <c r="J10" s="6"/>
      <c r="K10" s="6"/>
      <c r="L10" s="152">
        <v>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4"/>
      <c r="Y10" s="6"/>
      <c r="Z10" s="6"/>
      <c r="AA10" s="6"/>
    </row>
    <row r="11" spans="1:27" x14ac:dyDescent="0.25">
      <c r="A11" s="10" t="s">
        <v>107</v>
      </c>
      <c r="B11" s="1" t="s">
        <v>108</v>
      </c>
      <c r="H11" s="33"/>
      <c r="I11" s="6"/>
      <c r="J11" s="6"/>
      <c r="K11" s="6"/>
      <c r="L11" s="15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10" t="s">
        <v>109</v>
      </c>
      <c r="B12" s="1" t="s">
        <v>110</v>
      </c>
      <c r="H12" s="33"/>
      <c r="I12" s="4"/>
      <c r="J12" s="4"/>
      <c r="K12" s="4"/>
      <c r="L12" s="154"/>
      <c r="M12" s="4"/>
      <c r="N12" s="4"/>
      <c r="O12" s="4"/>
      <c r="P12" s="4"/>
      <c r="Q12" s="4"/>
      <c r="R12" s="4"/>
      <c r="S12" s="4"/>
      <c r="T12" s="6"/>
      <c r="U12" s="4"/>
      <c r="V12" s="4"/>
      <c r="W12" s="4"/>
      <c r="X12" s="4"/>
      <c r="Y12" s="4"/>
      <c r="Z12" s="4"/>
      <c r="AA12" s="4"/>
    </row>
    <row r="13" spans="1:27" x14ac:dyDescent="0.25">
      <c r="A13" s="10" t="s">
        <v>24</v>
      </c>
      <c r="B13" s="1" t="s">
        <v>49</v>
      </c>
      <c r="C13" s="1"/>
      <c r="E13" s="1"/>
      <c r="F13" s="1"/>
      <c r="G13" s="1"/>
      <c r="H13" s="3"/>
      <c r="I13" s="6"/>
      <c r="J13" s="6"/>
      <c r="K13" s="6"/>
      <c r="L13" s="153"/>
      <c r="M13" s="6"/>
      <c r="N13" s="6"/>
      <c r="O13" s="6"/>
      <c r="P13" s="6"/>
      <c r="Q13" s="6"/>
      <c r="R13" s="6"/>
      <c r="S13" s="6"/>
      <c r="T13" s="4"/>
      <c r="U13" s="6"/>
      <c r="V13" s="6"/>
      <c r="W13" s="6"/>
      <c r="X13" s="6"/>
      <c r="Y13" s="6"/>
      <c r="Z13" s="6"/>
      <c r="AA13" s="6"/>
    </row>
    <row r="14" spans="1:27" x14ac:dyDescent="0.25">
      <c r="A14" s="10"/>
      <c r="B14" s="1"/>
      <c r="C14" s="1"/>
      <c r="D14" s="11">
        <v>301</v>
      </c>
      <c r="E14" s="11" t="s">
        <v>98</v>
      </c>
      <c r="F14" t="s">
        <v>106</v>
      </c>
      <c r="H14" s="9">
        <v>864569</v>
      </c>
      <c r="I14" s="9">
        <v>864568.99999999988</v>
      </c>
      <c r="J14" s="9">
        <v>836830</v>
      </c>
      <c r="K14" s="9">
        <v>749445</v>
      </c>
      <c r="L14" s="152">
        <v>628165</v>
      </c>
      <c r="M14" s="9">
        <v>897358</v>
      </c>
      <c r="N14" s="9">
        <v>437270.00000000023</v>
      </c>
      <c r="O14" s="9">
        <v>504710</v>
      </c>
      <c r="P14" s="9">
        <v>573469</v>
      </c>
      <c r="Q14" s="9">
        <v>588586</v>
      </c>
      <c r="R14" s="9">
        <v>735393</v>
      </c>
      <c r="S14" s="9">
        <v>843779</v>
      </c>
      <c r="T14" s="13">
        <v>961406.00000000012</v>
      </c>
      <c r="U14" s="9">
        <v>595649</v>
      </c>
      <c r="V14" s="9">
        <v>658803</v>
      </c>
      <c r="W14" s="9">
        <v>614811.5</v>
      </c>
      <c r="X14" s="9">
        <v>570820</v>
      </c>
      <c r="Y14" s="9">
        <v>561932</v>
      </c>
      <c r="Z14" s="9">
        <v>548503</v>
      </c>
      <c r="AA14" s="9">
        <v>585934</v>
      </c>
    </row>
    <row r="15" spans="1:27" x14ac:dyDescent="0.25">
      <c r="A15" s="10"/>
      <c r="B15" s="1"/>
      <c r="C15" s="1"/>
      <c r="D15" s="11">
        <v>208</v>
      </c>
      <c r="E15" s="27" t="s">
        <v>98</v>
      </c>
      <c r="F15" t="s">
        <v>15</v>
      </c>
      <c r="H15" s="6"/>
      <c r="I15" s="6"/>
      <c r="J15" s="6"/>
      <c r="K15" s="6"/>
      <c r="L15" s="153"/>
      <c r="M15" s="9">
        <v>1418.447488584475</v>
      </c>
      <c r="N15" s="9">
        <v>1819.269406392694</v>
      </c>
      <c r="O15" s="9">
        <v>17351.59817351598</v>
      </c>
      <c r="P15" s="9">
        <v>7517.8082191780823</v>
      </c>
      <c r="Q15" s="9">
        <v>6443.8356164383549</v>
      </c>
      <c r="R15" s="9">
        <v>2147.9452054794519</v>
      </c>
      <c r="S15" s="9">
        <v>3758.9041095890411</v>
      </c>
      <c r="T15" s="3"/>
      <c r="U15" s="3"/>
      <c r="V15" s="3"/>
      <c r="W15" s="9">
        <v>14498.630136986301</v>
      </c>
      <c r="X15" s="9">
        <v>10202.739726027396</v>
      </c>
      <c r="Y15" s="9">
        <v>4832.8767123287671</v>
      </c>
      <c r="Z15" s="9">
        <v>5906.8493150684935</v>
      </c>
      <c r="AA15" s="9">
        <v>8054.7945205479455</v>
      </c>
    </row>
    <row r="16" spans="1:27" x14ac:dyDescent="0.25">
      <c r="A16" s="10"/>
      <c r="B16" s="1"/>
      <c r="C16" s="1"/>
      <c r="D16" s="11">
        <v>303</v>
      </c>
      <c r="E16" s="11" t="s">
        <v>98</v>
      </c>
      <c r="F16" s="11" t="s">
        <v>10</v>
      </c>
      <c r="G16" s="11"/>
      <c r="H16" s="9">
        <v>979811.05112095503</v>
      </c>
      <c r="I16" s="9">
        <v>803529.4117647059</v>
      </c>
      <c r="J16" s="9">
        <v>782121.9411764706</v>
      </c>
      <c r="K16" s="9">
        <v>782764.70588235289</v>
      </c>
      <c r="L16" s="152">
        <v>836312.70588235278</v>
      </c>
      <c r="M16" s="9">
        <v>791891</v>
      </c>
      <c r="N16" s="9">
        <v>774479.76470588241</v>
      </c>
      <c r="O16" s="9">
        <v>1068897</v>
      </c>
      <c r="P16" s="9">
        <v>923200</v>
      </c>
      <c r="Q16" s="9">
        <v>724000</v>
      </c>
      <c r="R16" s="9">
        <v>692000</v>
      </c>
      <c r="S16" s="9">
        <v>650000</v>
      </c>
      <c r="T16" s="13">
        <v>421000</v>
      </c>
      <c r="U16" s="9">
        <v>600000</v>
      </c>
      <c r="V16" s="9">
        <v>598000</v>
      </c>
      <c r="W16" s="9">
        <v>595000</v>
      </c>
      <c r="X16" s="9">
        <v>749000</v>
      </c>
      <c r="Y16" s="9">
        <v>575000</v>
      </c>
      <c r="Z16" s="9">
        <v>565000</v>
      </c>
      <c r="AA16" s="9">
        <v>415000</v>
      </c>
    </row>
    <row r="17" spans="1:27" x14ac:dyDescent="0.25">
      <c r="A17" s="10"/>
      <c r="B17" s="1"/>
      <c r="C17" s="1"/>
      <c r="D17" s="11">
        <v>210</v>
      </c>
      <c r="E17" s="11" t="s">
        <v>98</v>
      </c>
      <c r="F17" s="11" t="s">
        <v>252</v>
      </c>
      <c r="G17" s="11"/>
      <c r="H17" s="9">
        <v>3771.8446601941746</v>
      </c>
      <c r="I17" s="9">
        <v>3771.8446601941746</v>
      </c>
      <c r="J17" s="9">
        <v>3771.8446601941746</v>
      </c>
      <c r="K17" s="6"/>
      <c r="L17" s="152">
        <v>3771.8446601941746</v>
      </c>
      <c r="M17" s="9">
        <v>1941.7475728155339</v>
      </c>
      <c r="N17" s="9">
        <v>1941.7475728155339</v>
      </c>
      <c r="O17" s="9">
        <v>970.87378640776694</v>
      </c>
      <c r="P17" s="9">
        <v>807.96116504854376</v>
      </c>
      <c r="Q17" s="3"/>
      <c r="R17" s="3"/>
      <c r="S17" s="3"/>
      <c r="T17" s="13">
        <v>32318.446601941752</v>
      </c>
      <c r="U17" s="3"/>
      <c r="V17" s="3"/>
      <c r="W17" s="9">
        <v>8079.6116504854381</v>
      </c>
      <c r="X17" s="9">
        <v>8887.5728155339821</v>
      </c>
      <c r="Y17" s="9">
        <v>14543.300970873786</v>
      </c>
      <c r="Z17" s="9">
        <v>16967.184466019422</v>
      </c>
      <c r="AA17" s="9">
        <v>16159.223300970876</v>
      </c>
    </row>
    <row r="18" spans="1:27" x14ac:dyDescent="0.25">
      <c r="A18" s="10"/>
      <c r="B18" s="1"/>
      <c r="C18" s="1"/>
      <c r="D18" s="11">
        <v>209</v>
      </c>
      <c r="E18" s="27" t="s">
        <v>98</v>
      </c>
      <c r="F18" t="s">
        <v>268</v>
      </c>
      <c r="G18" s="11"/>
      <c r="H18" s="6"/>
      <c r="I18" s="6"/>
      <c r="J18" s="6"/>
      <c r="K18" s="9">
        <v>4965.4968115942029</v>
      </c>
      <c r="L18" s="18"/>
      <c r="M18" s="9">
        <v>1932.3671497584542</v>
      </c>
      <c r="N18" s="9">
        <v>2276</v>
      </c>
      <c r="O18" s="9">
        <v>7729.4685990338166</v>
      </c>
      <c r="P18" s="9">
        <v>27929.082125603865</v>
      </c>
      <c r="Q18" s="3"/>
      <c r="R18" s="3"/>
      <c r="S18" s="9">
        <v>2204.9275362318845</v>
      </c>
      <c r="T18" s="13">
        <v>27929.082125603865</v>
      </c>
      <c r="U18" s="3"/>
      <c r="V18" s="3"/>
      <c r="W18" s="3"/>
      <c r="X18" s="9">
        <v>4409.8550724637689</v>
      </c>
      <c r="Y18" s="9">
        <v>5144.8309178743966</v>
      </c>
      <c r="Z18" s="9">
        <v>11024.637681159422</v>
      </c>
      <c r="AA18" s="9">
        <v>22049.275362318844</v>
      </c>
    </row>
    <row r="19" spans="1:27" x14ac:dyDescent="0.25">
      <c r="A19" s="10"/>
      <c r="B19" s="1"/>
      <c r="C19" s="1"/>
      <c r="D19" s="11">
        <v>206</v>
      </c>
      <c r="E19" s="11" t="s">
        <v>98</v>
      </c>
      <c r="F19" s="11" t="s">
        <v>249</v>
      </c>
      <c r="G19" s="11"/>
      <c r="H19" s="9">
        <v>18047.058823529413</v>
      </c>
      <c r="I19" s="9">
        <v>17299.441176470587</v>
      </c>
      <c r="J19" s="9">
        <v>17299.441176470587</v>
      </c>
      <c r="K19" s="9">
        <v>13789.676784313724</v>
      </c>
      <c r="L19" s="152">
        <v>17297.441176470587</v>
      </c>
      <c r="M19" s="9">
        <v>20937.661843137255</v>
      </c>
      <c r="N19" s="9">
        <v>24739.940999999999</v>
      </c>
      <c r="O19" s="9">
        <v>62749.098039215685</v>
      </c>
      <c r="P19" s="9">
        <v>43504</v>
      </c>
      <c r="Q19" s="9">
        <v>66529.411764705888</v>
      </c>
      <c r="R19" s="9">
        <v>46911.76470588235</v>
      </c>
      <c r="S19" s="9">
        <v>40941.176470588238</v>
      </c>
      <c r="T19" s="13">
        <v>84441.176470588238</v>
      </c>
      <c r="U19" s="9">
        <v>20470.588235294119</v>
      </c>
      <c r="V19" s="9">
        <v>114294.11764705883</v>
      </c>
      <c r="W19" s="9">
        <v>113441.17647058824</v>
      </c>
      <c r="X19" s="9">
        <v>77617.647058823524</v>
      </c>
      <c r="Y19" s="9">
        <v>145000</v>
      </c>
      <c r="Z19" s="9">
        <v>146705.88235294115</v>
      </c>
      <c r="AA19" s="9">
        <v>213235.29411764705</v>
      </c>
    </row>
    <row r="20" spans="1:27" x14ac:dyDescent="0.25">
      <c r="A20" s="10"/>
      <c r="B20" s="1"/>
      <c r="C20" s="1"/>
      <c r="D20" s="11">
        <v>207</v>
      </c>
      <c r="E20" s="11" t="s">
        <v>98</v>
      </c>
      <c r="F20" s="11" t="s">
        <v>250</v>
      </c>
      <c r="G20" s="11"/>
      <c r="H20" s="9">
        <v>25001</v>
      </c>
      <c r="I20" s="9">
        <v>29935</v>
      </c>
      <c r="J20" s="9">
        <v>322019.57142857142</v>
      </c>
      <c r="K20" s="9">
        <v>324027.91499999998</v>
      </c>
      <c r="L20" s="152">
        <v>292288.06122448982</v>
      </c>
      <c r="M20" s="9">
        <v>291944</v>
      </c>
      <c r="N20" s="9">
        <v>314486.78099999996</v>
      </c>
      <c r="O20" s="9">
        <v>281988.31</v>
      </c>
      <c r="P20" s="9">
        <v>296505</v>
      </c>
      <c r="Q20" s="9">
        <v>567000</v>
      </c>
      <c r="R20" s="9">
        <v>576450.00000000012</v>
      </c>
      <c r="S20" s="9">
        <v>514080</v>
      </c>
      <c r="T20" s="13">
        <v>691740</v>
      </c>
      <c r="U20" s="9">
        <v>500850</v>
      </c>
      <c r="V20" s="9">
        <v>551880</v>
      </c>
      <c r="W20" s="9">
        <v>897750</v>
      </c>
      <c r="X20" s="9">
        <v>1269135.0000000002</v>
      </c>
      <c r="Y20" s="9">
        <v>1306935</v>
      </c>
      <c r="Z20" s="9">
        <v>1270080</v>
      </c>
      <c r="AA20" s="9">
        <v>945000</v>
      </c>
    </row>
    <row r="21" spans="1:27" x14ac:dyDescent="0.25">
      <c r="A21" s="10"/>
      <c r="B21" s="1"/>
      <c r="C21" s="1"/>
      <c r="D21" s="11">
        <v>106</v>
      </c>
      <c r="E21" s="27" t="s">
        <v>98</v>
      </c>
      <c r="F21" s="11" t="s">
        <v>16</v>
      </c>
      <c r="H21" s="6"/>
      <c r="I21" s="9">
        <v>59210.526315789473</v>
      </c>
      <c r="J21" s="9">
        <v>59210.526315789473</v>
      </c>
      <c r="K21" s="9">
        <v>95135.000000000015</v>
      </c>
      <c r="L21" s="152">
        <v>81578.947368421053</v>
      </c>
      <c r="M21" s="9">
        <v>81359</v>
      </c>
      <c r="N21" s="9">
        <v>95528</v>
      </c>
      <c r="O21" s="9">
        <v>88537.000000000015</v>
      </c>
      <c r="P21" s="9">
        <v>111842.10526315789</v>
      </c>
      <c r="Q21" s="9">
        <v>81578.947368421053</v>
      </c>
      <c r="R21" s="9">
        <v>84210.526315789481</v>
      </c>
      <c r="S21" s="9">
        <v>92105.263157894733</v>
      </c>
      <c r="T21" s="13">
        <v>14473.684210526315</v>
      </c>
      <c r="U21" s="5"/>
      <c r="V21" s="9">
        <v>132894.73684210525</v>
      </c>
      <c r="W21" s="9">
        <v>13157.894736842105</v>
      </c>
      <c r="X21" s="9">
        <v>64473.684210526313</v>
      </c>
      <c r="Y21" s="9">
        <v>118421.05263157895</v>
      </c>
      <c r="Z21" s="9">
        <v>94736.84210526316</v>
      </c>
      <c r="AA21" s="9">
        <v>78947.368421052626</v>
      </c>
    </row>
    <row r="22" spans="1:27" x14ac:dyDescent="0.25">
      <c r="A22" s="10" t="s">
        <v>25</v>
      </c>
      <c r="B22" s="1" t="s">
        <v>19</v>
      </c>
      <c r="C22" s="1"/>
      <c r="E22" s="1"/>
      <c r="F22" s="1"/>
      <c r="G22" s="1"/>
      <c r="H22" s="5"/>
      <c r="I22" s="5"/>
      <c r="J22" s="5"/>
      <c r="K22" s="5"/>
      <c r="L22" s="25"/>
      <c r="M22" s="5"/>
      <c r="N22" s="5"/>
      <c r="O22" s="5"/>
      <c r="P22" s="5"/>
      <c r="Q22" s="5"/>
      <c r="R22" s="5"/>
      <c r="S22" s="5"/>
      <c r="T22" s="12"/>
      <c r="U22" s="5"/>
      <c r="V22" s="5"/>
      <c r="W22" s="5"/>
      <c r="X22" s="5"/>
      <c r="Y22" s="5"/>
      <c r="Z22" s="5"/>
      <c r="AA22" s="159"/>
    </row>
    <row r="23" spans="1:27" x14ac:dyDescent="0.25">
      <c r="A23" s="10" t="s">
        <v>26</v>
      </c>
      <c r="B23" s="1" t="s">
        <v>20</v>
      </c>
      <c r="C23" s="1"/>
      <c r="E23" s="1"/>
      <c r="F23" s="1"/>
      <c r="G23" s="1"/>
      <c r="H23" s="5"/>
      <c r="I23" s="5"/>
      <c r="J23" s="5"/>
      <c r="K23" s="5"/>
      <c r="L23" s="25"/>
      <c r="M23" s="5"/>
      <c r="N23" s="5"/>
      <c r="O23" s="5"/>
      <c r="P23" s="5"/>
      <c r="Q23" s="5"/>
      <c r="R23" s="5"/>
      <c r="S23" s="5"/>
      <c r="T23" s="12"/>
      <c r="U23" s="5"/>
      <c r="V23" s="5"/>
      <c r="W23" s="5"/>
      <c r="X23" s="5"/>
      <c r="Y23" s="5"/>
      <c r="Z23" s="5"/>
      <c r="AA23" s="3"/>
    </row>
    <row r="24" spans="1:27" x14ac:dyDescent="0.25">
      <c r="A24" s="10" t="s">
        <v>27</v>
      </c>
      <c r="B24" s="1" t="s">
        <v>21</v>
      </c>
      <c r="C24" s="1"/>
      <c r="E24" s="1"/>
      <c r="F24" s="1"/>
      <c r="G24" s="1"/>
      <c r="H24" s="5"/>
      <c r="I24" s="5"/>
      <c r="J24" s="5"/>
      <c r="K24" s="5"/>
      <c r="L24" s="25"/>
      <c r="M24" s="5"/>
      <c r="N24" s="5"/>
      <c r="O24" s="5"/>
      <c r="P24" s="5"/>
      <c r="Q24" s="5"/>
      <c r="R24" s="5"/>
      <c r="S24" s="5"/>
      <c r="T24" s="12"/>
      <c r="U24" s="5"/>
      <c r="V24" s="5"/>
      <c r="W24" s="5"/>
      <c r="X24" s="5"/>
      <c r="Y24" s="5"/>
      <c r="Z24" s="5"/>
      <c r="AA24" s="3"/>
    </row>
    <row r="25" spans="1:27" x14ac:dyDescent="0.25">
      <c r="B25" s="1" t="s">
        <v>7</v>
      </c>
      <c r="G25" s="1"/>
      <c r="H25" s="5"/>
      <c r="I25" s="5"/>
      <c r="J25" s="5"/>
      <c r="K25" s="5"/>
      <c r="L25" s="25"/>
      <c r="M25" s="5"/>
      <c r="N25" s="5"/>
      <c r="O25" s="5"/>
      <c r="P25" s="5"/>
      <c r="Q25" s="5"/>
      <c r="R25" s="5"/>
      <c r="S25" s="5"/>
      <c r="T25" s="12"/>
      <c r="U25" s="3"/>
      <c r="V25" s="5"/>
      <c r="W25" s="155"/>
      <c r="X25" s="5"/>
      <c r="Y25" s="5"/>
      <c r="Z25" s="5"/>
      <c r="AA25" s="3"/>
    </row>
    <row r="26" spans="1:27" x14ac:dyDescent="0.25">
      <c r="D26" s="11">
        <v>103</v>
      </c>
      <c r="E26" s="11" t="s">
        <v>98</v>
      </c>
      <c r="F26" t="s">
        <v>248</v>
      </c>
      <c r="H26" s="9">
        <v>25030</v>
      </c>
      <c r="I26" s="9">
        <v>26465.677966101695</v>
      </c>
      <c r="J26" s="9">
        <v>24669.915254237287</v>
      </c>
      <c r="K26" s="9">
        <v>25916</v>
      </c>
      <c r="L26" s="152">
        <v>25906.677966101695</v>
      </c>
      <c r="M26" s="9">
        <v>26544.576271186441</v>
      </c>
      <c r="N26" s="9">
        <v>32322.406779661018</v>
      </c>
      <c r="O26" s="9">
        <v>27397.576271186441</v>
      </c>
      <c r="P26" s="9">
        <v>19579</v>
      </c>
      <c r="Q26" s="9">
        <v>46885</v>
      </c>
      <c r="R26" s="9">
        <v>71732</v>
      </c>
      <c r="S26" s="9">
        <v>57819</v>
      </c>
      <c r="T26" s="13">
        <v>64160.576271186437</v>
      </c>
      <c r="U26" s="9">
        <v>61073</v>
      </c>
      <c r="V26" s="9">
        <v>92000</v>
      </c>
      <c r="W26" s="9">
        <v>77000</v>
      </c>
      <c r="X26" s="9">
        <v>69000</v>
      </c>
      <c r="Y26" s="9">
        <v>84000</v>
      </c>
      <c r="Z26" s="9">
        <v>89000</v>
      </c>
      <c r="AA26" s="9">
        <v>88135.593220338982</v>
      </c>
    </row>
    <row r="27" spans="1:27" x14ac:dyDescent="0.25">
      <c r="D27" s="11">
        <v>206</v>
      </c>
      <c r="E27" s="11" t="s">
        <v>98</v>
      </c>
      <c r="F27" t="s">
        <v>249</v>
      </c>
      <c r="H27" s="9">
        <v>857</v>
      </c>
      <c r="I27" s="9">
        <v>999.99999999999989</v>
      </c>
      <c r="J27" s="9">
        <v>871.99999999999989</v>
      </c>
      <c r="K27" s="9">
        <v>884</v>
      </c>
      <c r="L27" s="152">
        <v>786</v>
      </c>
      <c r="M27" s="9">
        <v>1335</v>
      </c>
      <c r="N27" s="9">
        <v>691</v>
      </c>
      <c r="O27" s="9">
        <v>1947.9999999999998</v>
      </c>
      <c r="P27" s="9">
        <v>2385</v>
      </c>
      <c r="Q27" s="9">
        <v>3560</v>
      </c>
      <c r="R27" s="9">
        <v>5</v>
      </c>
      <c r="S27" s="9">
        <v>66</v>
      </c>
      <c r="T27" s="12"/>
      <c r="U27" s="5"/>
      <c r="V27" s="5"/>
      <c r="W27" s="5"/>
      <c r="X27" s="5"/>
      <c r="Y27" s="5"/>
      <c r="Z27" s="5"/>
      <c r="AA27" s="3"/>
    </row>
    <row r="28" spans="1:27" x14ac:dyDescent="0.25">
      <c r="B28" s="1" t="s">
        <v>6</v>
      </c>
      <c r="G28" s="1"/>
      <c r="H28" s="5"/>
      <c r="I28" s="5"/>
      <c r="J28" s="5"/>
      <c r="K28" s="5"/>
      <c r="L28" s="25"/>
      <c r="M28" s="5"/>
      <c r="N28" s="5"/>
      <c r="O28" s="5"/>
      <c r="P28" s="5"/>
      <c r="Q28" s="5"/>
      <c r="R28" s="5"/>
      <c r="S28" s="5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D29" s="11">
        <v>301</v>
      </c>
      <c r="E29" s="11" t="s">
        <v>98</v>
      </c>
      <c r="F29" t="s">
        <v>8</v>
      </c>
      <c r="H29" s="9">
        <v>4770700</v>
      </c>
      <c r="I29" s="9">
        <v>5018000</v>
      </c>
      <c r="J29" s="9">
        <v>4749000</v>
      </c>
      <c r="K29" s="9">
        <v>4412600</v>
      </c>
      <c r="L29" s="152">
        <v>4014000</v>
      </c>
      <c r="M29" s="9">
        <v>4045000</v>
      </c>
      <c r="N29" s="9">
        <v>4224000</v>
      </c>
      <c r="O29" s="9">
        <v>3925400</v>
      </c>
      <c r="P29" s="9">
        <v>3833400</v>
      </c>
      <c r="Q29" s="9">
        <v>3707500</v>
      </c>
      <c r="R29" s="9">
        <v>3368200</v>
      </c>
      <c r="S29" s="9">
        <v>3172700</v>
      </c>
      <c r="T29" s="13">
        <v>2938900</v>
      </c>
      <c r="U29" s="9">
        <v>2444300</v>
      </c>
      <c r="V29" s="9">
        <v>1851100</v>
      </c>
      <c r="W29" s="9">
        <v>1720400</v>
      </c>
      <c r="X29" s="9">
        <v>1615600</v>
      </c>
      <c r="Y29" s="9">
        <v>1724919</v>
      </c>
      <c r="Z29" s="9">
        <v>2332258</v>
      </c>
      <c r="AA29" s="9">
        <v>1554351</v>
      </c>
    </row>
    <row r="30" spans="1:27" x14ac:dyDescent="0.25">
      <c r="D30" s="11">
        <v>206</v>
      </c>
      <c r="E30" s="11" t="s">
        <v>98</v>
      </c>
      <c r="F30" t="s">
        <v>249</v>
      </c>
      <c r="H30" s="9">
        <v>1250</v>
      </c>
      <c r="I30" s="9">
        <v>3275</v>
      </c>
      <c r="J30" s="9">
        <v>8083</v>
      </c>
      <c r="K30" s="9">
        <v>9043</v>
      </c>
      <c r="L30" s="152">
        <v>13972</v>
      </c>
      <c r="M30" s="9">
        <v>1394</v>
      </c>
      <c r="N30" s="9">
        <v>1323</v>
      </c>
      <c r="O30" s="9">
        <v>1071</v>
      </c>
      <c r="P30" s="9">
        <v>1350</v>
      </c>
      <c r="Q30" s="9">
        <v>3632</v>
      </c>
      <c r="R30" s="9">
        <v>647</v>
      </c>
      <c r="S30" s="9">
        <v>911</v>
      </c>
      <c r="T30" s="3"/>
      <c r="U30" s="3"/>
      <c r="V30" s="3"/>
      <c r="W30" s="3"/>
      <c r="X30" s="3"/>
      <c r="Y30" s="5"/>
      <c r="Z30" s="5"/>
      <c r="AA30" s="3"/>
    </row>
    <row r="31" spans="1:27" x14ac:dyDescent="0.25">
      <c r="D31" s="11">
        <v>201</v>
      </c>
      <c r="E31" s="11" t="s">
        <v>98</v>
      </c>
      <c r="F31" t="s">
        <v>269</v>
      </c>
      <c r="H31" s="6"/>
      <c r="I31" s="9">
        <v>715.08</v>
      </c>
      <c r="J31" s="9">
        <v>38000</v>
      </c>
      <c r="K31" s="9">
        <v>37761.737550000005</v>
      </c>
      <c r="L31" s="25"/>
      <c r="M31" s="5"/>
      <c r="N31" s="9">
        <v>8000</v>
      </c>
      <c r="O31" s="5"/>
      <c r="P31" s="9">
        <v>3540</v>
      </c>
      <c r="Q31" s="5"/>
      <c r="R31" s="5"/>
      <c r="S31" s="5"/>
      <c r="T31" s="13">
        <v>31000</v>
      </c>
      <c r="U31" s="9">
        <v>28320</v>
      </c>
      <c r="V31" s="9">
        <v>27000</v>
      </c>
      <c r="W31" s="9">
        <v>27435</v>
      </c>
      <c r="X31" s="9">
        <v>17700</v>
      </c>
      <c r="Y31" s="9">
        <v>8850</v>
      </c>
      <c r="Z31" s="9">
        <v>13275</v>
      </c>
      <c r="AA31" s="9">
        <v>25000</v>
      </c>
    </row>
    <row r="32" spans="1:27" x14ac:dyDescent="0.25">
      <c r="A32" s="10" t="s">
        <v>28</v>
      </c>
      <c r="B32" s="1" t="s">
        <v>22</v>
      </c>
      <c r="H32" s="5"/>
      <c r="I32" s="5"/>
      <c r="J32" s="5"/>
      <c r="K32" s="5"/>
      <c r="L32" s="18"/>
      <c r="M32" s="3"/>
      <c r="N32" s="5"/>
      <c r="O32" s="3"/>
      <c r="P32" s="5"/>
      <c r="Q32" s="3"/>
      <c r="R32" s="3"/>
      <c r="S32" s="3"/>
      <c r="T32" s="155"/>
      <c r="U32" s="5"/>
      <c r="V32" s="5"/>
      <c r="W32" s="5"/>
      <c r="X32" s="5"/>
      <c r="Y32" s="3"/>
      <c r="Z32" s="3"/>
      <c r="AA32" s="5"/>
    </row>
    <row r="33" spans="1:27" x14ac:dyDescent="0.25">
      <c r="A33" s="10" t="s">
        <v>23</v>
      </c>
      <c r="B33" s="1" t="s">
        <v>40</v>
      </c>
      <c r="H33" s="3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26"/>
      <c r="U33" s="3"/>
      <c r="V33" s="3"/>
      <c r="W33" s="155"/>
      <c r="X33" s="3"/>
      <c r="Y33" s="3"/>
      <c r="Z33" s="3"/>
      <c r="AA33" s="5"/>
    </row>
    <row r="34" spans="1:27" x14ac:dyDescent="0.25">
      <c r="A34" s="10"/>
      <c r="B34" s="1"/>
      <c r="D34" s="11">
        <v>301</v>
      </c>
      <c r="E34" s="11" t="s">
        <v>98</v>
      </c>
      <c r="F34" t="s">
        <v>106</v>
      </c>
      <c r="H34" s="9">
        <v>1379795.0000000002</v>
      </c>
      <c r="I34" s="9">
        <v>1379795</v>
      </c>
      <c r="J34" s="9">
        <v>1395595</v>
      </c>
      <c r="K34" s="9">
        <v>1399807</v>
      </c>
      <c r="L34" s="152">
        <v>1461095</v>
      </c>
      <c r="M34" s="9">
        <v>1492022</v>
      </c>
      <c r="N34" s="9">
        <v>1437005</v>
      </c>
      <c r="O34" s="9">
        <v>1422527</v>
      </c>
      <c r="P34" s="9">
        <v>1254352</v>
      </c>
      <c r="Q34" s="9">
        <v>1129035</v>
      </c>
      <c r="R34" s="9">
        <v>1108140</v>
      </c>
      <c r="S34" s="9">
        <v>1387392</v>
      </c>
      <c r="T34" s="13">
        <v>1369057.0000000002</v>
      </c>
      <c r="U34" s="9">
        <v>1328268</v>
      </c>
      <c r="V34" s="9">
        <v>1283503</v>
      </c>
      <c r="W34" s="3"/>
      <c r="X34" s="3"/>
      <c r="Y34" s="3"/>
      <c r="Z34" s="3"/>
      <c r="AA34" s="159"/>
    </row>
    <row r="35" spans="1:27" x14ac:dyDescent="0.25">
      <c r="A35" s="10"/>
      <c r="B35" s="1"/>
      <c r="D35" s="11">
        <v>304</v>
      </c>
      <c r="E35" s="11" t="s">
        <v>98</v>
      </c>
      <c r="F35" t="s">
        <v>13</v>
      </c>
      <c r="H35" s="9">
        <v>3402500</v>
      </c>
      <c r="I35" s="9">
        <v>3293312</v>
      </c>
      <c r="J35" s="9">
        <v>3364500</v>
      </c>
      <c r="K35" s="9">
        <v>3392483</v>
      </c>
      <c r="L35" s="152">
        <v>3425000</v>
      </c>
      <c r="M35" s="9">
        <v>3220630</v>
      </c>
      <c r="N35" s="9">
        <v>3663549.9375</v>
      </c>
      <c r="O35" s="9">
        <v>3312906.8750000009</v>
      </c>
      <c r="P35" s="9">
        <v>3031618.5</v>
      </c>
      <c r="Q35" s="9">
        <v>3089830</v>
      </c>
      <c r="R35" s="9">
        <v>3019727</v>
      </c>
      <c r="S35" s="9">
        <v>3445248</v>
      </c>
      <c r="T35" s="13">
        <v>3351088</v>
      </c>
      <c r="U35" s="9">
        <v>3048405</v>
      </c>
      <c r="V35" s="9">
        <v>2340687.5</v>
      </c>
      <c r="W35" s="9">
        <v>2589312.5</v>
      </c>
      <c r="X35" s="9">
        <v>1863625</v>
      </c>
      <c r="Y35" s="9">
        <v>1991125</v>
      </c>
      <c r="Z35" s="9">
        <v>2438437.5</v>
      </c>
      <c r="AA35" s="9">
        <v>2903812.5</v>
      </c>
    </row>
    <row r="36" spans="1:27" x14ac:dyDescent="0.25">
      <c r="A36" s="10"/>
      <c r="B36" s="1"/>
      <c r="D36" s="11">
        <v>302</v>
      </c>
      <c r="E36" s="11" t="s">
        <v>98</v>
      </c>
      <c r="F36" t="s">
        <v>14</v>
      </c>
      <c r="H36" s="9">
        <v>493871.00000000006</v>
      </c>
      <c r="I36" s="9">
        <v>383962.33333333331</v>
      </c>
      <c r="J36" s="9">
        <v>479316.66666666663</v>
      </c>
      <c r="K36" s="9">
        <v>479083.33333333331</v>
      </c>
      <c r="L36" s="152">
        <v>422083.33333333337</v>
      </c>
      <c r="M36" s="9">
        <v>351598.33333333337</v>
      </c>
      <c r="N36" s="9">
        <v>392913.33333333337</v>
      </c>
      <c r="O36" s="9">
        <v>347378.66666666663</v>
      </c>
      <c r="P36" s="9">
        <v>290566</v>
      </c>
      <c r="Q36" s="9">
        <v>341818</v>
      </c>
      <c r="R36" s="9">
        <v>323071</v>
      </c>
      <c r="S36" s="9">
        <v>333718</v>
      </c>
      <c r="T36" s="13">
        <v>344407</v>
      </c>
      <c r="U36" s="9">
        <v>341880</v>
      </c>
      <c r="V36" s="9">
        <v>231000</v>
      </c>
      <c r="W36" s="9">
        <v>245000.00000000003</v>
      </c>
      <c r="X36" s="9">
        <v>226999.99999999997</v>
      </c>
      <c r="Y36" s="9">
        <v>300000</v>
      </c>
      <c r="Z36" s="9">
        <v>292000</v>
      </c>
      <c r="AA36" s="9">
        <v>325000</v>
      </c>
    </row>
    <row r="37" spans="1:27" x14ac:dyDescent="0.25">
      <c r="A37" s="10"/>
      <c r="B37" s="1"/>
      <c r="D37" s="11">
        <v>206</v>
      </c>
      <c r="E37" s="11" t="s">
        <v>98</v>
      </c>
      <c r="F37" t="s">
        <v>249</v>
      </c>
      <c r="H37" s="9">
        <v>44</v>
      </c>
      <c r="I37" s="9">
        <v>1.9999999999999998</v>
      </c>
      <c r="J37" s="9">
        <v>45</v>
      </c>
      <c r="K37" s="9">
        <v>33</v>
      </c>
      <c r="L37" s="18"/>
      <c r="M37" s="9">
        <v>3</v>
      </c>
      <c r="N37" s="3"/>
      <c r="O37" s="9">
        <v>1089</v>
      </c>
      <c r="P37" s="9">
        <v>4</v>
      </c>
      <c r="Q37" s="9">
        <v>6</v>
      </c>
      <c r="R37" s="9">
        <v>128</v>
      </c>
      <c r="S37" s="9">
        <v>139</v>
      </c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10"/>
      <c r="B38" s="1"/>
      <c r="D38" s="11">
        <v>207</v>
      </c>
      <c r="E38" s="11" t="s">
        <v>98</v>
      </c>
      <c r="F38" t="s">
        <v>250</v>
      </c>
      <c r="H38" s="9">
        <v>3800</v>
      </c>
      <c r="I38" s="9">
        <v>3698</v>
      </c>
      <c r="J38" s="9">
        <v>33540</v>
      </c>
      <c r="K38" s="9">
        <v>25441</v>
      </c>
      <c r="L38" s="152">
        <v>12404</v>
      </c>
      <c r="M38" s="9">
        <v>16655</v>
      </c>
      <c r="N38" s="9">
        <v>13622</v>
      </c>
      <c r="O38" s="9">
        <v>2247</v>
      </c>
      <c r="P38" s="9">
        <v>612</v>
      </c>
      <c r="Q38" s="9">
        <v>2845</v>
      </c>
      <c r="R38" s="9">
        <v>7013.9999999999991</v>
      </c>
      <c r="S38" s="9">
        <v>10742</v>
      </c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10"/>
      <c r="B39" s="1"/>
      <c r="D39" s="11">
        <v>106</v>
      </c>
      <c r="E39" s="11" t="s">
        <v>98</v>
      </c>
      <c r="F39" t="s">
        <v>253</v>
      </c>
      <c r="H39" s="9">
        <v>551944.46352544404</v>
      </c>
      <c r="I39" s="9">
        <v>181578.94736842107</v>
      </c>
      <c r="J39" s="9">
        <v>181578.94736842107</v>
      </c>
      <c r="K39" s="9">
        <v>954276.31578947371</v>
      </c>
      <c r="L39" s="152">
        <v>549671.05263157899</v>
      </c>
      <c r="M39" s="9">
        <v>549757.93578947382</v>
      </c>
      <c r="N39" s="9">
        <v>425991</v>
      </c>
      <c r="O39" s="9">
        <v>382732.42105263163</v>
      </c>
      <c r="P39" s="9">
        <v>209210.5263157895</v>
      </c>
      <c r="Q39" s="9">
        <v>276315.78947368421</v>
      </c>
      <c r="R39" s="9">
        <v>291118.42105263157</v>
      </c>
      <c r="S39" s="9">
        <v>381907.89473684214</v>
      </c>
      <c r="T39" s="13">
        <v>646381.57894736843</v>
      </c>
      <c r="U39" s="9">
        <v>287171.05263157899</v>
      </c>
      <c r="V39" s="9">
        <v>350328.94736842101</v>
      </c>
      <c r="W39" s="9">
        <v>344407.89473684214</v>
      </c>
      <c r="X39" s="9">
        <v>29605.263157894733</v>
      </c>
      <c r="Y39" s="9">
        <v>197368.42105263157</v>
      </c>
      <c r="Z39" s="9">
        <v>177631.57894736843</v>
      </c>
      <c r="AA39" s="9">
        <v>157894.73684210525</v>
      </c>
    </row>
    <row r="40" spans="1:27" x14ac:dyDescent="0.25">
      <c r="A40" s="10"/>
      <c r="B40" s="1"/>
      <c r="D40" s="11">
        <v>104</v>
      </c>
      <c r="E40" s="11" t="s">
        <v>98</v>
      </c>
      <c r="F40" t="s">
        <v>254</v>
      </c>
      <c r="H40" s="9">
        <v>181666.66666666666</v>
      </c>
      <c r="I40" s="9">
        <v>184722.22222222222</v>
      </c>
      <c r="J40" s="9">
        <v>212500</v>
      </c>
      <c r="K40" s="9">
        <v>234722.22222222222</v>
      </c>
      <c r="L40" s="152">
        <v>218055.55555555556</v>
      </c>
      <c r="M40" s="9">
        <v>108333.33333333333</v>
      </c>
      <c r="N40" s="9">
        <v>114818.11111111111</v>
      </c>
      <c r="O40" s="9">
        <v>48611.111111111109</v>
      </c>
      <c r="P40" s="9">
        <v>40611.111111111109</v>
      </c>
      <c r="Q40" s="9">
        <v>45333.333333333336</v>
      </c>
      <c r="R40" s="9">
        <v>68944.444444444438</v>
      </c>
      <c r="S40" s="9">
        <v>68944.444444444438</v>
      </c>
      <c r="T40" s="13">
        <v>13222.222222222223</v>
      </c>
      <c r="U40" s="9">
        <v>5666.666666666667</v>
      </c>
      <c r="V40" s="9">
        <v>43444.444444444445</v>
      </c>
      <c r="W40" s="9">
        <v>21722.222222222223</v>
      </c>
      <c r="X40" s="9">
        <v>28333.333333333332</v>
      </c>
      <c r="Y40" s="9">
        <v>113333.33333333333</v>
      </c>
      <c r="Z40" s="9">
        <v>141666.66666666666</v>
      </c>
      <c r="AA40" s="9">
        <v>188888.88888888888</v>
      </c>
    </row>
    <row r="41" spans="1:27" x14ac:dyDescent="0.25">
      <c r="A41" s="10" t="s">
        <v>29</v>
      </c>
      <c r="B41" s="1" t="s">
        <v>41</v>
      </c>
      <c r="H41" s="3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26"/>
      <c r="U41" s="3"/>
      <c r="V41" s="3"/>
      <c r="W41" s="3"/>
      <c r="X41" s="3"/>
      <c r="Y41" s="3"/>
      <c r="Z41" s="3"/>
      <c r="AA41" s="3"/>
    </row>
    <row r="42" spans="1:27" x14ac:dyDescent="0.25">
      <c r="A42" s="10"/>
      <c r="B42" s="1"/>
      <c r="D42" s="11">
        <v>301</v>
      </c>
      <c r="E42" s="11" t="s">
        <v>98</v>
      </c>
      <c r="F42" t="s">
        <v>106</v>
      </c>
      <c r="H42" s="9">
        <v>479125.99999999994</v>
      </c>
      <c r="I42" s="9">
        <v>479126</v>
      </c>
      <c r="J42" s="9">
        <v>362122</v>
      </c>
      <c r="K42" s="9">
        <v>465505</v>
      </c>
      <c r="L42" s="152">
        <v>539470</v>
      </c>
      <c r="M42" s="9">
        <v>523412</v>
      </c>
      <c r="N42" s="9">
        <v>573050</v>
      </c>
      <c r="O42" s="9">
        <v>545658</v>
      </c>
      <c r="P42" s="9">
        <v>509160.00000000006</v>
      </c>
      <c r="Q42" s="9">
        <v>422306</v>
      </c>
      <c r="R42" s="9">
        <v>644820</v>
      </c>
      <c r="S42" s="9">
        <v>379867</v>
      </c>
      <c r="T42" s="13">
        <v>228568.00000000003</v>
      </c>
      <c r="U42" s="9">
        <v>246772</v>
      </c>
      <c r="V42" s="9">
        <v>123976</v>
      </c>
      <c r="W42" s="3"/>
      <c r="X42" s="3"/>
      <c r="Y42" s="3"/>
      <c r="Z42" s="3"/>
      <c r="AA42" s="3"/>
    </row>
    <row r="43" spans="1:27" x14ac:dyDescent="0.25">
      <c r="A43" s="10" t="s">
        <v>30</v>
      </c>
      <c r="B43" s="1" t="s">
        <v>42</v>
      </c>
      <c r="H43" s="3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26"/>
      <c r="U43" s="3"/>
      <c r="V43" s="3"/>
      <c r="W43" s="3"/>
      <c r="X43" s="3"/>
      <c r="Y43" s="3"/>
      <c r="Z43" s="3"/>
      <c r="AA43" s="3"/>
    </row>
    <row r="44" spans="1:27" x14ac:dyDescent="0.25">
      <c r="A44" s="10"/>
      <c r="B44" s="1"/>
      <c r="D44" s="11">
        <v>301</v>
      </c>
      <c r="E44" s="11" t="s">
        <v>98</v>
      </c>
      <c r="F44" t="s">
        <v>106</v>
      </c>
      <c r="H44" s="9">
        <v>576470</v>
      </c>
      <c r="I44" s="9">
        <v>507470</v>
      </c>
      <c r="J44" s="9">
        <v>601726</v>
      </c>
      <c r="K44" s="9">
        <v>440880</v>
      </c>
      <c r="L44" s="152">
        <v>548525</v>
      </c>
      <c r="M44" s="9">
        <v>900439.31239811529</v>
      </c>
      <c r="N44" s="9">
        <v>828130.06024096382</v>
      </c>
      <c r="O44" s="9">
        <v>909936.2845123494</v>
      </c>
      <c r="P44" s="9">
        <v>785145.74540060037</v>
      </c>
      <c r="Q44" s="9">
        <v>804617.01566498587</v>
      </c>
      <c r="R44" s="9">
        <v>543718.92282756814</v>
      </c>
      <c r="S44" s="9">
        <v>555720.81358386669</v>
      </c>
      <c r="T44" s="13">
        <v>500064.57384774508</v>
      </c>
      <c r="U44" s="9">
        <v>393381</v>
      </c>
      <c r="V44" s="9">
        <v>381512</v>
      </c>
      <c r="W44" s="3"/>
      <c r="X44" s="3"/>
      <c r="Y44" s="3"/>
      <c r="Z44" s="3"/>
      <c r="AA44" s="3"/>
    </row>
    <row r="45" spans="1:27" x14ac:dyDescent="0.25">
      <c r="A45" s="10"/>
      <c r="B45" s="1"/>
      <c r="D45" s="11">
        <v>303</v>
      </c>
      <c r="E45" s="11" t="s">
        <v>98</v>
      </c>
      <c r="F45" s="11" t="s">
        <v>10</v>
      </c>
      <c r="H45" s="9">
        <v>7356</v>
      </c>
      <c r="I45" s="9">
        <v>8123</v>
      </c>
      <c r="J45" s="9">
        <v>9509</v>
      </c>
      <c r="K45" s="9">
        <v>10178</v>
      </c>
      <c r="L45" s="152">
        <v>54541.76470588235</v>
      </c>
      <c r="M45" s="9">
        <v>6750</v>
      </c>
      <c r="N45" s="3"/>
      <c r="O45" s="9">
        <v>10194</v>
      </c>
      <c r="P45" s="3"/>
      <c r="Q45" s="9">
        <v>47500</v>
      </c>
      <c r="R45" s="9">
        <v>40968</v>
      </c>
      <c r="S45" s="9">
        <v>25913</v>
      </c>
      <c r="T45" s="13">
        <v>36750.480000000003</v>
      </c>
      <c r="U45" s="9">
        <v>25470.120000000003</v>
      </c>
      <c r="V45" s="9">
        <v>27300</v>
      </c>
      <c r="W45" s="9">
        <v>28080</v>
      </c>
      <c r="X45" s="9">
        <v>37440</v>
      </c>
      <c r="Y45" s="9">
        <v>24960</v>
      </c>
      <c r="Z45" s="9">
        <v>29640</v>
      </c>
      <c r="AA45" s="9">
        <v>31200</v>
      </c>
    </row>
    <row r="46" spans="1:27" x14ac:dyDescent="0.25">
      <c r="A46" s="10"/>
      <c r="B46" s="1"/>
      <c r="D46" s="11">
        <v>206</v>
      </c>
      <c r="E46" s="11" t="s">
        <v>98</v>
      </c>
      <c r="F46" t="s">
        <v>249</v>
      </c>
      <c r="H46" s="9">
        <v>374</v>
      </c>
      <c r="I46" s="9">
        <v>148.30000000000001</v>
      </c>
      <c r="J46" s="9">
        <v>316.3</v>
      </c>
      <c r="K46" s="9">
        <v>1303</v>
      </c>
      <c r="L46" s="152">
        <v>124.00000000000001</v>
      </c>
      <c r="M46" s="9">
        <v>103</v>
      </c>
      <c r="N46" s="9">
        <v>125</v>
      </c>
      <c r="O46" s="9">
        <v>228</v>
      </c>
      <c r="P46" s="9">
        <v>3952.9999999999995</v>
      </c>
      <c r="Q46" s="9">
        <v>1694</v>
      </c>
      <c r="R46" s="9">
        <v>3405</v>
      </c>
      <c r="S46" s="9">
        <v>2161</v>
      </c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10"/>
      <c r="B47" s="1"/>
      <c r="D47" s="11">
        <v>208</v>
      </c>
      <c r="E47" s="11" t="s">
        <v>98</v>
      </c>
      <c r="F47" t="s">
        <v>255</v>
      </c>
      <c r="H47" s="9">
        <v>5910</v>
      </c>
      <c r="I47" s="9">
        <v>2288</v>
      </c>
      <c r="J47" s="9">
        <v>2105</v>
      </c>
      <c r="K47" s="9">
        <v>8268</v>
      </c>
      <c r="L47" s="152">
        <v>4064</v>
      </c>
      <c r="M47" s="9">
        <v>2736</v>
      </c>
      <c r="N47" s="9">
        <v>380</v>
      </c>
      <c r="O47" s="9">
        <v>1016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10"/>
      <c r="B48" s="1"/>
      <c r="D48" s="11">
        <v>207</v>
      </c>
      <c r="E48" s="11" t="s">
        <v>98</v>
      </c>
      <c r="F48" t="s">
        <v>250</v>
      </c>
      <c r="H48" s="9">
        <v>1012</v>
      </c>
      <c r="I48" s="9">
        <v>1434</v>
      </c>
      <c r="J48" s="9">
        <v>2197</v>
      </c>
      <c r="K48" s="9">
        <v>8272</v>
      </c>
      <c r="L48" s="152">
        <v>4135</v>
      </c>
      <c r="M48" s="9">
        <v>3397</v>
      </c>
      <c r="N48" s="9">
        <v>3057</v>
      </c>
      <c r="O48" s="9">
        <v>2105</v>
      </c>
      <c r="P48" s="9">
        <v>1939</v>
      </c>
      <c r="Q48" s="9">
        <v>2276</v>
      </c>
      <c r="R48" s="9">
        <v>7387</v>
      </c>
      <c r="S48" s="9">
        <v>11194</v>
      </c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10"/>
      <c r="B49" s="1"/>
      <c r="D49" s="11">
        <v>406</v>
      </c>
      <c r="E49" s="11" t="s">
        <v>98</v>
      </c>
      <c r="F49" t="s">
        <v>256</v>
      </c>
      <c r="H49" s="9">
        <v>78200</v>
      </c>
      <c r="I49" s="9">
        <v>291051.39489529782</v>
      </c>
      <c r="J49" s="9">
        <v>257367.93578585374</v>
      </c>
      <c r="K49" s="9">
        <v>285776.64844978863</v>
      </c>
      <c r="L49" s="152">
        <v>286836.84852753009</v>
      </c>
      <c r="M49" s="9">
        <v>349307.30356040125</v>
      </c>
      <c r="N49" s="9">
        <v>329328.57172068767</v>
      </c>
      <c r="O49" s="9">
        <v>294877.99697575555</v>
      </c>
      <c r="P49" s="9">
        <v>249606.05410691534</v>
      </c>
      <c r="Q49" s="9">
        <v>261044.9631904822</v>
      </c>
      <c r="R49" s="9">
        <v>426115.46553421422</v>
      </c>
      <c r="S49" s="9">
        <v>358841.3574034925</v>
      </c>
      <c r="T49" s="13">
        <v>395786.99769873352</v>
      </c>
      <c r="U49" s="9">
        <v>370293.30961756833</v>
      </c>
      <c r="V49" s="9">
        <v>399865.47932816413</v>
      </c>
      <c r="W49" s="9">
        <v>397971.88483548875</v>
      </c>
      <c r="X49" s="9">
        <v>665817.87715583399</v>
      </c>
      <c r="Y49" s="9">
        <v>680637.05860967364</v>
      </c>
      <c r="Z49" s="9">
        <v>773291.29055374034</v>
      </c>
      <c r="AA49" s="9">
        <v>631625.19927097252</v>
      </c>
    </row>
    <row r="50" spans="1:27" x14ac:dyDescent="0.25">
      <c r="A50" s="10"/>
      <c r="B50" s="1"/>
      <c r="D50" s="11">
        <v>106</v>
      </c>
      <c r="E50" s="27" t="s">
        <v>98</v>
      </c>
      <c r="F50" t="s">
        <v>16</v>
      </c>
      <c r="H50" s="6"/>
      <c r="I50" s="6"/>
      <c r="J50" s="6"/>
      <c r="K50" s="6"/>
      <c r="L50" s="153"/>
      <c r="M50" s="6"/>
      <c r="N50" s="6"/>
      <c r="O50" s="6"/>
      <c r="P50" s="6"/>
      <c r="Q50" s="9">
        <v>45000</v>
      </c>
      <c r="R50" s="9">
        <v>45000</v>
      </c>
      <c r="S50" s="9">
        <v>30784</v>
      </c>
      <c r="T50" s="13">
        <v>23723</v>
      </c>
      <c r="U50" s="9">
        <v>23723</v>
      </c>
      <c r="V50" s="9">
        <v>44736.84210526316</v>
      </c>
      <c r="W50" s="3"/>
      <c r="X50" s="9">
        <v>14473.684210526315</v>
      </c>
      <c r="Y50" s="9">
        <v>26315.78947368421</v>
      </c>
      <c r="Z50" s="9">
        <v>23684.21052631579</v>
      </c>
      <c r="AA50" s="9">
        <v>18421.052631578947</v>
      </c>
    </row>
    <row r="51" spans="1:27" x14ac:dyDescent="0.25">
      <c r="A51" s="10"/>
      <c r="B51" s="1"/>
      <c r="D51" s="11">
        <v>401</v>
      </c>
      <c r="E51" s="11" t="s">
        <v>98</v>
      </c>
      <c r="F51" t="s">
        <v>258</v>
      </c>
      <c r="H51" s="6"/>
      <c r="I51" s="6"/>
      <c r="J51" s="6"/>
      <c r="K51" s="6"/>
      <c r="L51" s="153"/>
      <c r="M51" s="6"/>
      <c r="N51" s="6"/>
      <c r="O51" s="6"/>
      <c r="P51" s="6"/>
      <c r="Q51" s="6"/>
      <c r="R51" s="9">
        <v>350</v>
      </c>
      <c r="S51" s="9">
        <v>102.00000000000001</v>
      </c>
      <c r="T51" s="26"/>
      <c r="U51" s="3"/>
      <c r="V51" s="3"/>
      <c r="W51" s="3"/>
      <c r="X51" s="3"/>
      <c r="Y51" s="3"/>
      <c r="Z51" s="3"/>
      <c r="AA51" s="3"/>
    </row>
    <row r="52" spans="1:27" x14ac:dyDescent="0.25">
      <c r="A52" s="10" t="s">
        <v>31</v>
      </c>
      <c r="B52" s="1" t="s">
        <v>43</v>
      </c>
      <c r="H52" s="3"/>
      <c r="I52" s="3"/>
      <c r="J52" s="3"/>
      <c r="K52" s="3"/>
      <c r="L52" s="18"/>
      <c r="M52" s="3"/>
      <c r="N52" s="3"/>
      <c r="O52" s="3"/>
      <c r="P52" s="3"/>
      <c r="Q52" s="6"/>
      <c r="R52" s="6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10"/>
      <c r="B53" s="1"/>
      <c r="D53" s="11">
        <v>301</v>
      </c>
      <c r="E53" s="11" t="s">
        <v>98</v>
      </c>
      <c r="F53" t="s">
        <v>106</v>
      </c>
      <c r="H53" s="9">
        <v>327261.99999999994</v>
      </c>
      <c r="I53" s="9">
        <v>327262</v>
      </c>
      <c r="J53" s="9">
        <v>351257</v>
      </c>
      <c r="K53" s="9">
        <v>343975</v>
      </c>
      <c r="L53" s="152">
        <v>376680</v>
      </c>
      <c r="M53" s="9">
        <v>356352</v>
      </c>
      <c r="N53" s="9">
        <v>340180</v>
      </c>
      <c r="O53" s="9">
        <v>351970</v>
      </c>
      <c r="P53" s="9">
        <v>318536</v>
      </c>
      <c r="Q53" s="9">
        <v>313437</v>
      </c>
      <c r="R53" s="9">
        <v>324128</v>
      </c>
      <c r="S53" s="9">
        <v>386228</v>
      </c>
      <c r="T53" s="13">
        <v>393422.00000000006</v>
      </c>
      <c r="U53" s="9">
        <v>394371</v>
      </c>
      <c r="V53" s="9">
        <v>370312</v>
      </c>
      <c r="W53" s="3"/>
      <c r="X53" s="3"/>
      <c r="Y53" s="3"/>
      <c r="Z53" s="3"/>
      <c r="AA53" s="3"/>
    </row>
    <row r="54" spans="1:27" x14ac:dyDescent="0.25">
      <c r="A54" s="10"/>
      <c r="B54" s="1"/>
      <c r="D54" s="11">
        <v>206</v>
      </c>
      <c r="E54" s="11" t="s">
        <v>98</v>
      </c>
      <c r="F54" t="s">
        <v>249</v>
      </c>
      <c r="H54" s="9">
        <v>17</v>
      </c>
      <c r="I54" s="9">
        <v>127.99999999999999</v>
      </c>
      <c r="J54" s="9">
        <v>15</v>
      </c>
      <c r="K54" s="9">
        <v>4037</v>
      </c>
      <c r="L54" s="152">
        <v>55</v>
      </c>
      <c r="M54" s="9">
        <v>24</v>
      </c>
      <c r="N54" s="9">
        <v>9</v>
      </c>
      <c r="O54" s="9">
        <v>308</v>
      </c>
      <c r="P54" s="9">
        <v>502</v>
      </c>
      <c r="Q54" s="9">
        <v>449</v>
      </c>
      <c r="R54" s="9">
        <v>378</v>
      </c>
      <c r="S54" s="9">
        <v>9</v>
      </c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10"/>
      <c r="B55" s="1"/>
      <c r="D55" s="11">
        <v>207</v>
      </c>
      <c r="E55" s="11" t="s">
        <v>98</v>
      </c>
      <c r="F55" t="s">
        <v>250</v>
      </c>
      <c r="H55" s="9">
        <v>40652.999999999993</v>
      </c>
      <c r="I55" s="9">
        <v>30034</v>
      </c>
      <c r="J55" s="9">
        <v>42816</v>
      </c>
      <c r="K55" s="9">
        <v>43672</v>
      </c>
      <c r="L55" s="152">
        <v>41232</v>
      </c>
      <c r="M55" s="9">
        <v>44480</v>
      </c>
      <c r="N55" s="9">
        <v>43449</v>
      </c>
      <c r="O55" s="9">
        <v>21945</v>
      </c>
      <c r="P55" s="9">
        <v>21740</v>
      </c>
      <c r="Q55" s="9">
        <v>18463</v>
      </c>
      <c r="R55" s="9">
        <v>17803</v>
      </c>
      <c r="S55" s="9">
        <v>12281</v>
      </c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10"/>
      <c r="B56" s="1"/>
      <c r="D56" s="11">
        <v>403</v>
      </c>
      <c r="E56" s="11" t="s">
        <v>98</v>
      </c>
      <c r="F56" t="s">
        <v>257</v>
      </c>
      <c r="H56" s="9">
        <v>954896.16</v>
      </c>
      <c r="I56" s="9">
        <v>978290.54999999993</v>
      </c>
      <c r="J56" s="9">
        <v>992935.25579999969</v>
      </c>
      <c r="K56" s="9">
        <v>1058234.3500000001</v>
      </c>
      <c r="L56" s="152">
        <v>907238.65</v>
      </c>
      <c r="M56" s="9">
        <v>714466.95</v>
      </c>
      <c r="N56" s="9">
        <v>649644</v>
      </c>
      <c r="O56" s="9">
        <v>639711</v>
      </c>
      <c r="P56" s="9">
        <v>685598.49999999988</v>
      </c>
      <c r="Q56" s="9">
        <v>918444.29999999993</v>
      </c>
      <c r="R56" s="9">
        <v>848368.2</v>
      </c>
      <c r="S56" s="9">
        <v>873722.45</v>
      </c>
      <c r="T56" s="13">
        <v>791683.6</v>
      </c>
      <c r="U56" s="9">
        <v>713792.70000000007</v>
      </c>
      <c r="V56" s="9">
        <v>713709.99999999988</v>
      </c>
      <c r="W56" s="9">
        <v>586300.00000000012</v>
      </c>
      <c r="X56" s="9">
        <v>536119.99999999988</v>
      </c>
      <c r="Y56" s="9">
        <v>455000</v>
      </c>
      <c r="Z56" s="9">
        <v>441999.99999999994</v>
      </c>
      <c r="AA56" s="9">
        <v>441650</v>
      </c>
    </row>
    <row r="57" spans="1:27" x14ac:dyDescent="0.25">
      <c r="A57" s="10"/>
      <c r="B57" s="1"/>
      <c r="D57" s="11">
        <v>401</v>
      </c>
      <c r="E57" s="11" t="s">
        <v>98</v>
      </c>
      <c r="F57" t="s">
        <v>258</v>
      </c>
      <c r="H57" s="9">
        <v>379050</v>
      </c>
      <c r="I57" s="9">
        <v>280703</v>
      </c>
      <c r="J57" s="9">
        <v>345502</v>
      </c>
      <c r="K57" s="9">
        <v>303121</v>
      </c>
      <c r="L57" s="152">
        <v>325031</v>
      </c>
      <c r="M57" s="9">
        <v>302495</v>
      </c>
      <c r="N57" s="9">
        <v>311789</v>
      </c>
      <c r="O57" s="9">
        <v>282000</v>
      </c>
      <c r="P57" s="9">
        <v>274000</v>
      </c>
      <c r="Q57" s="9">
        <v>184500</v>
      </c>
      <c r="R57" s="9">
        <v>130796</v>
      </c>
      <c r="S57" s="9">
        <v>142308</v>
      </c>
      <c r="T57" s="13">
        <v>162529.29</v>
      </c>
      <c r="U57" s="9">
        <v>153681.66</v>
      </c>
      <c r="V57" s="9">
        <v>122760</v>
      </c>
      <c r="W57" s="9">
        <v>118800</v>
      </c>
      <c r="X57" s="9">
        <v>134640</v>
      </c>
      <c r="Y57" s="9">
        <v>137610</v>
      </c>
      <c r="Z57" s="9">
        <v>145530</v>
      </c>
      <c r="AA57" s="9">
        <v>124826.08695652174</v>
      </c>
    </row>
    <row r="58" spans="1:27" x14ac:dyDescent="0.25">
      <c r="A58" s="10"/>
      <c r="B58" s="1"/>
      <c r="D58" s="11">
        <v>406</v>
      </c>
      <c r="E58" s="11" t="s">
        <v>98</v>
      </c>
      <c r="F58" t="s">
        <v>256</v>
      </c>
      <c r="H58" s="9">
        <v>443585.00000000006</v>
      </c>
      <c r="I58" s="9">
        <v>679161.39489529771</v>
      </c>
      <c r="J58" s="9">
        <v>644858.93578585377</v>
      </c>
      <c r="K58" s="9">
        <v>615776.64844978857</v>
      </c>
      <c r="L58" s="152">
        <v>647118.84852753009</v>
      </c>
      <c r="M58" s="9">
        <v>679369.30356040131</v>
      </c>
      <c r="N58" s="9">
        <v>656345.57172068767</v>
      </c>
      <c r="O58" s="9">
        <v>619877.99697575555</v>
      </c>
      <c r="P58" s="9">
        <v>541024.05410691537</v>
      </c>
      <c r="Q58" s="9">
        <v>475344.96319048223</v>
      </c>
      <c r="R58" s="9">
        <v>556285.46553421416</v>
      </c>
      <c r="S58" s="9">
        <v>509886.3574034925</v>
      </c>
      <c r="T58" s="13">
        <v>528533.99769873358</v>
      </c>
      <c r="U58" s="9">
        <v>442021.30961756833</v>
      </c>
      <c r="V58" s="9">
        <v>456711.5013390918</v>
      </c>
      <c r="W58" s="9">
        <v>438180.04674565711</v>
      </c>
      <c r="X58" s="9">
        <v>696320.62067389279</v>
      </c>
      <c r="Y58" s="9">
        <v>758280.40574655053</v>
      </c>
      <c r="Z58" s="9">
        <v>853707.61437407706</v>
      </c>
      <c r="AA58" s="9">
        <v>724519.91816687875</v>
      </c>
    </row>
    <row r="59" spans="1:27" x14ac:dyDescent="0.25">
      <c r="A59" s="10" t="s">
        <v>32</v>
      </c>
      <c r="B59" s="114" t="s">
        <v>264</v>
      </c>
      <c r="H59" s="3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26"/>
      <c r="U59" s="3"/>
      <c r="V59" s="3"/>
      <c r="W59" s="3"/>
      <c r="X59" s="3"/>
      <c r="Y59" s="3"/>
      <c r="Z59" s="3"/>
      <c r="AA59" s="3"/>
    </row>
    <row r="60" spans="1:27" x14ac:dyDescent="0.25">
      <c r="A60" s="10"/>
      <c r="B60" s="1"/>
      <c r="D60" s="11">
        <v>301</v>
      </c>
      <c r="E60" s="11" t="s">
        <v>98</v>
      </c>
      <c r="F60" t="s">
        <v>106</v>
      </c>
      <c r="H60" s="9">
        <v>1867944</v>
      </c>
      <c r="I60" s="9">
        <v>1867943.9999999998</v>
      </c>
      <c r="J60" s="9">
        <v>1641525</v>
      </c>
      <c r="K60" s="9">
        <v>1634237</v>
      </c>
      <c r="L60" s="152">
        <v>1607095</v>
      </c>
      <c r="M60" s="9">
        <v>1535599</v>
      </c>
      <c r="N60" s="9">
        <v>1426055</v>
      </c>
      <c r="O60" s="9">
        <v>1385007</v>
      </c>
      <c r="P60" s="9">
        <v>1358926</v>
      </c>
      <c r="Q60" s="9">
        <v>1384010</v>
      </c>
      <c r="R60" s="9">
        <v>1365248</v>
      </c>
      <c r="S60" s="9">
        <v>1302500</v>
      </c>
      <c r="T60" s="13">
        <v>1138629</v>
      </c>
      <c r="U60" s="9">
        <v>1134594</v>
      </c>
      <c r="V60" s="9">
        <v>1086346</v>
      </c>
      <c r="W60" s="3"/>
      <c r="X60" s="3"/>
      <c r="Y60" s="3"/>
      <c r="Z60" s="3"/>
      <c r="AA60" s="3"/>
    </row>
    <row r="61" spans="1:27" x14ac:dyDescent="0.25">
      <c r="A61" s="10"/>
      <c r="B61" s="1"/>
      <c r="D61" s="11">
        <v>206</v>
      </c>
      <c r="E61" s="11" t="s">
        <v>98</v>
      </c>
      <c r="F61" t="s">
        <v>249</v>
      </c>
      <c r="H61" s="9">
        <v>1988</v>
      </c>
      <c r="I61" s="9">
        <v>1298</v>
      </c>
      <c r="J61" s="9">
        <v>2373</v>
      </c>
      <c r="K61" s="9">
        <v>4028.9999999999995</v>
      </c>
      <c r="L61" s="152">
        <v>1078</v>
      </c>
      <c r="M61" s="9">
        <v>1252</v>
      </c>
      <c r="N61" s="9">
        <v>1134</v>
      </c>
      <c r="O61" s="9">
        <v>694</v>
      </c>
      <c r="P61" s="9">
        <v>1382</v>
      </c>
      <c r="Q61" s="9">
        <v>1521</v>
      </c>
      <c r="R61" s="9">
        <v>2105</v>
      </c>
      <c r="S61" s="9">
        <v>2349</v>
      </c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10"/>
      <c r="B62" s="1"/>
      <c r="D62" s="11">
        <v>207</v>
      </c>
      <c r="E62" s="11" t="s">
        <v>98</v>
      </c>
      <c r="F62" t="s">
        <v>250</v>
      </c>
      <c r="H62" s="9">
        <v>3259</v>
      </c>
      <c r="I62" s="9">
        <v>2275</v>
      </c>
      <c r="J62" s="9">
        <v>12201</v>
      </c>
      <c r="K62" s="9">
        <v>11823</v>
      </c>
      <c r="L62" s="152">
        <v>1738</v>
      </c>
      <c r="M62" s="9">
        <v>1398</v>
      </c>
      <c r="N62" s="9">
        <v>2181</v>
      </c>
      <c r="O62" s="9">
        <v>2115</v>
      </c>
      <c r="P62" s="9">
        <v>2098</v>
      </c>
      <c r="Q62" s="9">
        <v>2931</v>
      </c>
      <c r="R62" s="9">
        <v>3333</v>
      </c>
      <c r="S62" s="9">
        <v>524</v>
      </c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10"/>
      <c r="B63" s="1"/>
      <c r="D63" s="11">
        <v>403</v>
      </c>
      <c r="E63" s="11" t="s">
        <v>98</v>
      </c>
      <c r="F63" t="s">
        <v>257</v>
      </c>
      <c r="H63" s="9">
        <v>5411078.2400000002</v>
      </c>
      <c r="I63" s="9">
        <v>5543646.4500000002</v>
      </c>
      <c r="J63" s="9">
        <v>5626633.1161999982</v>
      </c>
      <c r="K63" s="9">
        <v>5996661.3166666664</v>
      </c>
      <c r="L63" s="152">
        <v>5141019.0166666666</v>
      </c>
      <c r="M63" s="9">
        <v>4048646.05</v>
      </c>
      <c r="N63" s="9">
        <v>3681316</v>
      </c>
      <c r="O63" s="9">
        <v>3625029</v>
      </c>
      <c r="P63" s="9">
        <v>3885058.166666666</v>
      </c>
      <c r="Q63" s="9">
        <v>5204517.7</v>
      </c>
      <c r="R63" s="9">
        <v>4807419.8</v>
      </c>
      <c r="S63" s="9">
        <v>4951093.8833333328</v>
      </c>
      <c r="T63" s="13">
        <v>4486207.0666666664</v>
      </c>
      <c r="U63" s="9">
        <v>4044825.3000000007</v>
      </c>
      <c r="V63" s="9">
        <v>4044356.666666666</v>
      </c>
      <c r="W63" s="9">
        <v>3322366.6666666674</v>
      </c>
      <c r="X63" s="9">
        <v>3038013.333333333</v>
      </c>
      <c r="Y63" s="9">
        <v>2578333.3333333335</v>
      </c>
      <c r="Z63" s="9">
        <v>2504666.6666666665</v>
      </c>
      <c r="AA63" s="9">
        <v>2502683.3333333335</v>
      </c>
    </row>
    <row r="64" spans="1:27" x14ac:dyDescent="0.25">
      <c r="A64" s="10"/>
      <c r="B64" s="1"/>
      <c r="D64" s="11">
        <v>401</v>
      </c>
      <c r="E64" s="11" t="s">
        <v>98</v>
      </c>
      <c r="F64" t="s">
        <v>258</v>
      </c>
      <c r="H64" s="9">
        <v>11770</v>
      </c>
      <c r="I64" s="9">
        <v>5300</v>
      </c>
      <c r="J64" s="9">
        <v>8015</v>
      </c>
      <c r="K64" s="9">
        <v>4800</v>
      </c>
      <c r="L64" s="152">
        <v>2670.0000000000005</v>
      </c>
      <c r="M64" s="9">
        <v>1858</v>
      </c>
      <c r="N64" s="9">
        <v>2430</v>
      </c>
      <c r="O64" s="9">
        <v>3200</v>
      </c>
      <c r="P64" s="9">
        <v>3200.0000000000005</v>
      </c>
      <c r="Q64" s="9">
        <v>3699.9999999999995</v>
      </c>
      <c r="R64" s="9">
        <v>1300</v>
      </c>
      <c r="S64" s="9">
        <v>471</v>
      </c>
      <c r="T64" s="13">
        <v>1641.71</v>
      </c>
      <c r="U64" s="9">
        <v>1552.3400000000001</v>
      </c>
      <c r="V64" s="9">
        <v>1240</v>
      </c>
      <c r="W64" s="9">
        <v>1200</v>
      </c>
      <c r="X64" s="9">
        <v>1360</v>
      </c>
      <c r="Y64" s="9">
        <v>1390</v>
      </c>
      <c r="Z64" s="9">
        <v>1470</v>
      </c>
      <c r="AA64" s="9">
        <v>1260.8695652173915</v>
      </c>
    </row>
    <row r="65" spans="1:27" x14ac:dyDescent="0.25">
      <c r="D65" s="11">
        <v>406</v>
      </c>
      <c r="E65" s="11" t="s">
        <v>98</v>
      </c>
      <c r="F65" t="s">
        <v>256</v>
      </c>
      <c r="H65" s="9">
        <v>250921</v>
      </c>
      <c r="I65" s="9">
        <v>475618.39489529782</v>
      </c>
      <c r="J65" s="9">
        <v>378055.93578585377</v>
      </c>
      <c r="K65" s="9">
        <v>361522.64844978863</v>
      </c>
      <c r="L65" s="152">
        <v>356273.84852753009</v>
      </c>
      <c r="M65" s="9">
        <v>412378.30356040125</v>
      </c>
      <c r="N65" s="9">
        <v>346645.57172068767</v>
      </c>
      <c r="O65" s="9">
        <v>336790.99697575555</v>
      </c>
      <c r="P65" s="9">
        <v>307606.05410691537</v>
      </c>
      <c r="Q65" s="9">
        <v>324144.96319048223</v>
      </c>
      <c r="R65" s="9">
        <v>505590.46553421422</v>
      </c>
      <c r="S65" s="9">
        <v>413848.3574034925</v>
      </c>
      <c r="T65" s="13">
        <v>437475.99769873352</v>
      </c>
      <c r="U65" s="9">
        <v>396042.30961756833</v>
      </c>
      <c r="V65" s="9">
        <v>420272.12974026788</v>
      </c>
      <c r="W65" s="9">
        <v>412405.85707819625</v>
      </c>
      <c r="X65" s="9">
        <v>676767.7871330604</v>
      </c>
      <c r="Y65" s="9">
        <v>708509.55673352268</v>
      </c>
      <c r="Z65" s="9">
        <v>802159.23503915535</v>
      </c>
      <c r="AA65" s="9">
        <v>664972.6523834347</v>
      </c>
    </row>
    <row r="66" spans="1:27" x14ac:dyDescent="0.25">
      <c r="A66" s="10" t="s">
        <v>33</v>
      </c>
      <c r="B66" s="1" t="s">
        <v>34</v>
      </c>
      <c r="H66" s="3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26"/>
      <c r="U66" s="3"/>
      <c r="V66" s="3"/>
      <c r="W66" s="3"/>
      <c r="X66" s="3"/>
      <c r="Y66" s="3"/>
      <c r="Z66" s="3"/>
      <c r="AA66" s="3"/>
    </row>
    <row r="67" spans="1:27" x14ac:dyDescent="0.25">
      <c r="B67" s="1" t="s">
        <v>36</v>
      </c>
      <c r="G67" s="1"/>
      <c r="H67" s="5"/>
      <c r="I67" s="5"/>
      <c r="J67" s="5"/>
      <c r="K67" s="5"/>
      <c r="L67" s="25"/>
      <c r="M67" s="5"/>
      <c r="N67" s="5"/>
      <c r="O67" s="5"/>
      <c r="P67" s="5"/>
      <c r="Q67" s="5"/>
      <c r="R67" s="5"/>
      <c r="S67" s="5"/>
      <c r="T67" s="12"/>
      <c r="U67" s="5"/>
      <c r="V67" s="5"/>
      <c r="W67" s="5"/>
      <c r="X67" s="5"/>
      <c r="Y67" s="5"/>
      <c r="Z67" s="5"/>
      <c r="AA67" s="5"/>
    </row>
    <row r="68" spans="1:27" x14ac:dyDescent="0.25">
      <c r="D68" s="11">
        <v>301</v>
      </c>
      <c r="E68" s="11" t="s">
        <v>98</v>
      </c>
      <c r="F68" t="s">
        <v>106</v>
      </c>
      <c r="H68" s="9">
        <v>1525216.9999999998</v>
      </c>
      <c r="I68" s="9">
        <v>1525217</v>
      </c>
      <c r="J68" s="9">
        <v>1584114</v>
      </c>
      <c r="K68" s="9">
        <v>1440247</v>
      </c>
      <c r="L68" s="152">
        <v>1409265</v>
      </c>
      <c r="M68" s="9">
        <v>1287248</v>
      </c>
      <c r="N68" s="9">
        <v>1178950</v>
      </c>
      <c r="O68" s="9">
        <v>1014684</v>
      </c>
      <c r="P68" s="9">
        <v>794179</v>
      </c>
      <c r="Q68" s="9">
        <v>925721</v>
      </c>
      <c r="R68" s="9">
        <v>1199389</v>
      </c>
      <c r="S68" s="9">
        <v>1378783</v>
      </c>
      <c r="T68" s="13">
        <v>1307927.0000000002</v>
      </c>
      <c r="U68" s="9">
        <v>1147547</v>
      </c>
      <c r="V68" s="9">
        <v>1191598</v>
      </c>
      <c r="W68" s="3"/>
      <c r="X68" s="3"/>
      <c r="Y68" s="3"/>
      <c r="Z68" s="3"/>
      <c r="AA68" s="3"/>
    </row>
    <row r="69" spans="1:27" x14ac:dyDescent="0.25">
      <c r="D69" s="11">
        <v>206</v>
      </c>
      <c r="E69" s="11" t="s">
        <v>98</v>
      </c>
      <c r="F69" s="11" t="s">
        <v>249</v>
      </c>
      <c r="G69" s="11"/>
      <c r="H69" s="9">
        <v>509.99999999999994</v>
      </c>
      <c r="I69" s="9">
        <v>524</v>
      </c>
      <c r="J69" s="9">
        <v>798</v>
      </c>
      <c r="K69" s="9">
        <v>613</v>
      </c>
      <c r="L69" s="152">
        <v>496.99999999999994</v>
      </c>
      <c r="M69" s="9">
        <v>594</v>
      </c>
      <c r="N69" s="9">
        <v>544</v>
      </c>
      <c r="O69" s="9">
        <v>344</v>
      </c>
      <c r="P69" s="9">
        <v>571</v>
      </c>
      <c r="Q69" s="9">
        <v>81</v>
      </c>
      <c r="R69" s="9">
        <v>409</v>
      </c>
      <c r="S69" s="9">
        <v>465</v>
      </c>
      <c r="T69" s="3"/>
      <c r="U69" s="3"/>
      <c r="V69" s="3"/>
      <c r="W69" s="3"/>
      <c r="X69" s="3"/>
      <c r="Y69" s="3"/>
      <c r="Z69" s="3"/>
      <c r="AA69" s="3"/>
    </row>
    <row r="70" spans="1:27" x14ac:dyDescent="0.25">
      <c r="D70" s="11">
        <v>106</v>
      </c>
      <c r="E70" s="11" t="s">
        <v>98</v>
      </c>
      <c r="F70" t="s">
        <v>253</v>
      </c>
      <c r="G70" s="11"/>
      <c r="H70" s="9">
        <v>183981.4878418147</v>
      </c>
      <c r="I70" s="9">
        <v>60526.315789473687</v>
      </c>
      <c r="J70" s="9">
        <v>60526.315789473687</v>
      </c>
      <c r="K70" s="9">
        <v>318092.10526315792</v>
      </c>
      <c r="L70" s="152">
        <v>183223.68421052632</v>
      </c>
      <c r="M70" s="9">
        <v>183252.64526315796</v>
      </c>
      <c r="N70" s="9">
        <v>141997</v>
      </c>
      <c r="O70" s="9">
        <v>127577.47368421055</v>
      </c>
      <c r="P70" s="9">
        <v>69736.84210526316</v>
      </c>
      <c r="Q70" s="9">
        <v>92105.263157894733</v>
      </c>
      <c r="R70" s="9">
        <v>97039.473684210519</v>
      </c>
      <c r="S70" s="9">
        <v>127302.63157894737</v>
      </c>
      <c r="T70" s="13">
        <v>215460.5263157895</v>
      </c>
      <c r="U70" s="9">
        <v>95723.68421052632</v>
      </c>
      <c r="V70" s="9">
        <v>116776.31578947368</v>
      </c>
      <c r="W70" s="9">
        <v>114802.63157894737</v>
      </c>
      <c r="X70" s="9">
        <v>9868.4210526315783</v>
      </c>
      <c r="Y70" s="9">
        <v>65789.473684210519</v>
      </c>
      <c r="Z70" s="9">
        <v>59210.526315789473</v>
      </c>
      <c r="AA70" s="9">
        <v>52631.57894736842</v>
      </c>
    </row>
    <row r="71" spans="1:27" x14ac:dyDescent="0.25">
      <c r="D71" s="11">
        <v>401</v>
      </c>
      <c r="E71" s="11" t="s">
        <v>98</v>
      </c>
      <c r="F71" s="11" t="s">
        <v>258</v>
      </c>
      <c r="G71" s="11"/>
      <c r="H71" s="9">
        <v>41154.630379746799</v>
      </c>
      <c r="I71" s="9">
        <v>195652.17391304349</v>
      </c>
      <c r="J71" s="9">
        <v>234782.60869565216</v>
      </c>
      <c r="K71" s="9">
        <v>291304.34782608697</v>
      </c>
      <c r="L71" s="152">
        <v>295652.17391304346</v>
      </c>
      <c r="M71" s="9">
        <v>326863.04608695669</v>
      </c>
      <c r="N71" s="9">
        <v>504347.82608695654</v>
      </c>
      <c r="O71" s="9">
        <v>579761.64685605397</v>
      </c>
      <c r="P71" s="9">
        <v>447826.08695652173</v>
      </c>
      <c r="Q71" s="9">
        <v>210000</v>
      </c>
      <c r="R71" s="9">
        <v>200000</v>
      </c>
      <c r="S71" s="9">
        <v>200000</v>
      </c>
      <c r="T71" s="13">
        <v>200000</v>
      </c>
      <c r="U71" s="9">
        <v>200000</v>
      </c>
      <c r="V71" s="9">
        <v>191304.34782608695</v>
      </c>
      <c r="W71" s="9">
        <v>143000</v>
      </c>
      <c r="X71" s="3"/>
      <c r="Y71" s="3"/>
      <c r="Z71" s="3"/>
      <c r="AA71" s="3"/>
    </row>
    <row r="72" spans="1:27" x14ac:dyDescent="0.25">
      <c r="D72" s="11">
        <v>103</v>
      </c>
      <c r="E72" s="27" t="s">
        <v>98</v>
      </c>
      <c r="F72" s="11" t="s">
        <v>9</v>
      </c>
      <c r="H72" s="6"/>
      <c r="I72" s="6"/>
      <c r="J72" s="6"/>
      <c r="K72" s="6"/>
      <c r="L72" s="153"/>
      <c r="M72" s="6"/>
      <c r="N72" s="6"/>
      <c r="O72" s="6"/>
      <c r="P72" s="6"/>
      <c r="Q72" s="9">
        <v>55705.583756345171</v>
      </c>
      <c r="R72" s="9">
        <v>44907.268170426061</v>
      </c>
      <c r="S72" s="9">
        <v>22076.613756613755</v>
      </c>
      <c r="T72" s="13">
        <v>12942.258183155574</v>
      </c>
      <c r="U72" s="5"/>
      <c r="V72" s="9">
        <v>43179.739397036283</v>
      </c>
      <c r="W72" s="9">
        <v>27113.49751935414</v>
      </c>
      <c r="X72" s="9">
        <v>62871.963969760334</v>
      </c>
      <c r="Y72" s="9">
        <v>76543.788187372702</v>
      </c>
      <c r="Z72" s="9">
        <v>21306.024915873128</v>
      </c>
      <c r="AA72" s="9">
        <v>8430.5194893478165</v>
      </c>
    </row>
    <row r="73" spans="1:27" x14ac:dyDescent="0.25">
      <c r="B73" s="1" t="s">
        <v>35</v>
      </c>
      <c r="G73" s="1"/>
      <c r="H73" s="5"/>
      <c r="I73" s="5"/>
      <c r="J73" s="5"/>
      <c r="K73" s="5"/>
      <c r="L73" s="25"/>
      <c r="M73" s="5"/>
      <c r="N73" s="5"/>
      <c r="O73" s="5"/>
      <c r="P73" s="5"/>
      <c r="Q73" s="5"/>
      <c r="R73" s="5"/>
      <c r="S73" s="5"/>
      <c r="T73" s="12"/>
      <c r="U73" s="3"/>
      <c r="V73" s="5"/>
      <c r="W73" s="5"/>
      <c r="X73" s="5"/>
      <c r="Y73" s="5"/>
      <c r="Z73" s="5"/>
      <c r="AA73" s="3"/>
    </row>
    <row r="74" spans="1:27" x14ac:dyDescent="0.25">
      <c r="D74" s="11">
        <v>301</v>
      </c>
      <c r="E74" s="11" t="s">
        <v>98</v>
      </c>
      <c r="F74" t="s">
        <v>106</v>
      </c>
      <c r="H74" s="9">
        <v>65386</v>
      </c>
      <c r="I74" s="9">
        <v>65386</v>
      </c>
      <c r="J74" s="9">
        <v>67790</v>
      </c>
      <c r="K74" s="9">
        <v>58391.999999999993</v>
      </c>
      <c r="L74" s="152">
        <v>56940</v>
      </c>
      <c r="M74" s="9">
        <v>50412</v>
      </c>
      <c r="N74" s="9">
        <v>41610</v>
      </c>
      <c r="O74" s="9">
        <v>41753</v>
      </c>
      <c r="P74" s="9">
        <v>40039</v>
      </c>
      <c r="Q74" s="9">
        <v>54802</v>
      </c>
      <c r="R74" s="9">
        <v>77364</v>
      </c>
      <c r="S74" s="9">
        <v>99166</v>
      </c>
      <c r="T74" s="13">
        <v>92827.000000000015</v>
      </c>
      <c r="U74" s="9">
        <v>78156</v>
      </c>
      <c r="V74" s="9">
        <v>80066</v>
      </c>
      <c r="W74" s="3"/>
      <c r="X74" s="3"/>
      <c r="Y74" s="3"/>
      <c r="Z74" s="3"/>
      <c r="AA74" s="3"/>
    </row>
    <row r="75" spans="1:27" x14ac:dyDescent="0.25">
      <c r="D75" s="11">
        <v>206</v>
      </c>
      <c r="E75" s="11" t="s">
        <v>98</v>
      </c>
      <c r="F75" s="11" t="s">
        <v>249</v>
      </c>
      <c r="G75" s="11"/>
      <c r="H75" s="9">
        <v>138</v>
      </c>
      <c r="I75" s="9">
        <v>67</v>
      </c>
      <c r="J75" s="9">
        <v>163</v>
      </c>
      <c r="K75" s="9">
        <v>836</v>
      </c>
      <c r="L75" s="152">
        <v>41</v>
      </c>
      <c r="M75" s="9">
        <v>21</v>
      </c>
      <c r="N75" s="9">
        <v>163</v>
      </c>
      <c r="O75" s="9">
        <v>16</v>
      </c>
      <c r="P75" s="9">
        <v>22</v>
      </c>
      <c r="Q75" s="5"/>
      <c r="R75" s="5"/>
      <c r="S75" s="5"/>
      <c r="T75" s="12"/>
      <c r="U75" s="5"/>
      <c r="V75" s="5"/>
      <c r="W75" s="3"/>
      <c r="X75" s="3"/>
      <c r="Y75" s="3"/>
      <c r="Z75" s="3"/>
      <c r="AA75" s="3"/>
    </row>
    <row r="76" spans="1:27" x14ac:dyDescent="0.25">
      <c r="B76" s="1" t="s">
        <v>37</v>
      </c>
      <c r="G76" s="1"/>
      <c r="H76" s="5"/>
      <c r="I76" s="5"/>
      <c r="J76" s="5"/>
      <c r="K76" s="5"/>
      <c r="L76" s="25"/>
      <c r="M76" s="5"/>
      <c r="N76" s="5"/>
      <c r="O76" s="5"/>
      <c r="P76" s="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D77" s="11">
        <v>301</v>
      </c>
      <c r="E77" s="11" t="s">
        <v>98</v>
      </c>
      <c r="F77" t="s">
        <v>106</v>
      </c>
      <c r="H77" s="13">
        <v>29598</v>
      </c>
      <c r="I77" s="13">
        <v>29598.000000000004</v>
      </c>
      <c r="J77" s="13">
        <v>29760</v>
      </c>
      <c r="K77" s="13">
        <v>28696</v>
      </c>
      <c r="L77" s="156">
        <v>29930</v>
      </c>
      <c r="M77" s="13">
        <v>31085</v>
      </c>
      <c r="N77" s="13">
        <v>41975</v>
      </c>
      <c r="O77" s="13">
        <v>43654</v>
      </c>
      <c r="P77" s="13">
        <v>39277</v>
      </c>
      <c r="Q77" s="13">
        <v>35391</v>
      </c>
      <c r="R77" s="13">
        <v>35290</v>
      </c>
      <c r="S77" s="13">
        <v>42095</v>
      </c>
      <c r="T77" s="13">
        <v>42573</v>
      </c>
      <c r="U77" s="13">
        <v>37108</v>
      </c>
      <c r="V77" s="13">
        <v>36207</v>
      </c>
      <c r="W77" s="3"/>
      <c r="X77" s="3"/>
      <c r="Y77" s="3"/>
      <c r="Z77" s="3"/>
      <c r="AA77" s="3"/>
    </row>
    <row r="78" spans="1:27" x14ac:dyDescent="0.25">
      <c r="D78" s="11">
        <v>206</v>
      </c>
      <c r="E78" s="11" t="s">
        <v>98</v>
      </c>
      <c r="F78" s="11" t="s">
        <v>249</v>
      </c>
      <c r="G78" s="11"/>
      <c r="H78" s="13">
        <v>13</v>
      </c>
      <c r="I78" s="13">
        <v>10</v>
      </c>
      <c r="J78" s="13">
        <v>14</v>
      </c>
      <c r="K78" s="13">
        <v>2318</v>
      </c>
      <c r="L78" s="18"/>
      <c r="M78" s="13">
        <v>2373</v>
      </c>
      <c r="N78" s="13">
        <v>4560</v>
      </c>
      <c r="O78" s="13">
        <v>1</v>
      </c>
      <c r="P78" s="3"/>
      <c r="Q78" s="13">
        <v>1</v>
      </c>
      <c r="R78" s="13">
        <v>13</v>
      </c>
      <c r="S78" s="13">
        <v>0.99999999999999989</v>
      </c>
      <c r="T78" s="3"/>
      <c r="U78" s="3"/>
      <c r="V78" s="3"/>
      <c r="W78" s="3"/>
      <c r="X78" s="3"/>
      <c r="Y78" s="3"/>
      <c r="Z78" s="3"/>
      <c r="AA78" s="3"/>
    </row>
    <row r="79" spans="1:27" x14ac:dyDescent="0.25">
      <c r="D79" s="11">
        <v>207</v>
      </c>
      <c r="E79" s="11" t="s">
        <v>98</v>
      </c>
      <c r="F79" t="s">
        <v>12</v>
      </c>
      <c r="G79" s="11"/>
      <c r="H79" s="34"/>
      <c r="I79" s="34"/>
      <c r="J79" s="34"/>
      <c r="K79" s="34"/>
      <c r="L79" s="154"/>
      <c r="M79" s="34"/>
      <c r="N79" s="34"/>
      <c r="O79" s="13">
        <v>200.00000000000003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D80" s="11">
        <v>401</v>
      </c>
      <c r="E80" s="11" t="s">
        <v>98</v>
      </c>
      <c r="F80" s="11" t="s">
        <v>258</v>
      </c>
      <c r="G80" s="11"/>
      <c r="H80" s="13">
        <v>563298</v>
      </c>
      <c r="I80" s="13">
        <v>409491</v>
      </c>
      <c r="J80" s="13">
        <v>335773</v>
      </c>
      <c r="K80" s="13">
        <v>335689</v>
      </c>
      <c r="L80" s="156">
        <v>330016</v>
      </c>
      <c r="M80" s="13">
        <v>382603.99999999994</v>
      </c>
      <c r="N80" s="13">
        <v>377114</v>
      </c>
      <c r="O80" s="13">
        <v>195000</v>
      </c>
      <c r="P80" s="13">
        <v>90000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x14ac:dyDescent="0.25">
      <c r="D81" s="11">
        <v>406</v>
      </c>
      <c r="E81" s="11" t="s">
        <v>98</v>
      </c>
      <c r="F81" s="11" t="s">
        <v>256</v>
      </c>
      <c r="G81" s="11"/>
      <c r="H81" s="34"/>
      <c r="I81" s="13">
        <v>230111.39489529782</v>
      </c>
      <c r="J81" s="13">
        <v>192367.93578585374</v>
      </c>
      <c r="K81" s="13">
        <v>220776.64844978863</v>
      </c>
      <c r="L81" s="156">
        <v>219846.84852753006</v>
      </c>
      <c r="M81" s="13">
        <v>282317.30356040125</v>
      </c>
      <c r="N81" s="13">
        <v>261345.57172068767</v>
      </c>
      <c r="O81" s="13">
        <v>252877.99697575555</v>
      </c>
      <c r="P81" s="13">
        <v>233606.05410691534</v>
      </c>
      <c r="Q81" s="13">
        <v>246344.9631904822</v>
      </c>
      <c r="R81" s="13">
        <v>407815.46553421422</v>
      </c>
      <c r="S81" s="13">
        <v>346753.3574034925</v>
      </c>
      <c r="T81" s="13">
        <v>371153.99769873352</v>
      </c>
      <c r="U81" s="13">
        <v>340851.30961756833</v>
      </c>
      <c r="V81" s="13">
        <v>376532.04496437684</v>
      </c>
      <c r="W81" s="13">
        <v>381467.74833427335</v>
      </c>
      <c r="X81" s="13">
        <v>653297.49774111889</v>
      </c>
      <c r="Y81" s="13">
        <v>648767.00191767153</v>
      </c>
      <c r="Z81" s="13">
        <v>740283.01755130955</v>
      </c>
      <c r="AA81" s="13">
        <v>593494.95287161286</v>
      </c>
    </row>
    <row r="82" spans="2:27" x14ac:dyDescent="0.25">
      <c r="B82" s="1" t="s">
        <v>38</v>
      </c>
      <c r="G82" s="1"/>
      <c r="H82" s="5"/>
      <c r="I82" s="5"/>
      <c r="J82" s="5"/>
      <c r="K82" s="5"/>
      <c r="L82" s="25"/>
      <c r="M82" s="5"/>
      <c r="N82" s="5"/>
      <c r="O82" s="5"/>
      <c r="P82" s="5"/>
      <c r="Q82" s="5"/>
      <c r="R82" s="5"/>
      <c r="S82" s="5"/>
      <c r="T82" s="12"/>
      <c r="U82" s="5"/>
      <c r="V82" s="5"/>
      <c r="W82" s="5"/>
      <c r="X82" s="5"/>
      <c r="Y82" s="5"/>
      <c r="Z82" s="5"/>
      <c r="AA82" s="5"/>
    </row>
    <row r="83" spans="2:27" x14ac:dyDescent="0.25">
      <c r="D83" s="11">
        <v>301</v>
      </c>
      <c r="E83" s="11" t="s">
        <v>98</v>
      </c>
      <c r="F83" t="s">
        <v>106</v>
      </c>
      <c r="H83" s="13">
        <v>134345</v>
      </c>
      <c r="I83" s="13">
        <v>134345</v>
      </c>
      <c r="J83" s="13">
        <v>133741</v>
      </c>
      <c r="K83" s="13">
        <v>138908</v>
      </c>
      <c r="L83" s="156">
        <v>142715</v>
      </c>
      <c r="M83" s="13">
        <v>136328</v>
      </c>
      <c r="N83" s="13">
        <v>126290</v>
      </c>
      <c r="O83" s="13">
        <v>119766</v>
      </c>
      <c r="P83" s="13">
        <v>104375</v>
      </c>
      <c r="Q83" s="13">
        <v>122382.00000000001</v>
      </c>
      <c r="R83" s="13">
        <v>101015</v>
      </c>
      <c r="S83" s="13">
        <v>118012</v>
      </c>
      <c r="T83" s="13">
        <v>132797</v>
      </c>
      <c r="U83" s="13">
        <v>102742</v>
      </c>
      <c r="V83" s="13">
        <v>90451</v>
      </c>
      <c r="W83" s="3"/>
      <c r="X83" s="3"/>
      <c r="Y83" s="3"/>
      <c r="Z83" s="3"/>
      <c r="AA83" s="3"/>
    </row>
    <row r="84" spans="2:27" x14ac:dyDescent="0.25">
      <c r="D84" s="11">
        <v>206</v>
      </c>
      <c r="E84" s="11" t="s">
        <v>98</v>
      </c>
      <c r="F84" s="11" t="s">
        <v>249</v>
      </c>
      <c r="G84" s="11"/>
      <c r="H84" s="13">
        <v>28</v>
      </c>
      <c r="I84" s="13">
        <v>10</v>
      </c>
      <c r="J84" s="13">
        <v>14</v>
      </c>
      <c r="K84" s="13">
        <v>252.00000000000003</v>
      </c>
      <c r="L84" s="156">
        <v>10</v>
      </c>
      <c r="M84" s="13">
        <v>11</v>
      </c>
      <c r="N84" s="13">
        <v>5.9999999999999991</v>
      </c>
      <c r="O84" s="13">
        <v>11</v>
      </c>
      <c r="P84" s="13">
        <v>1</v>
      </c>
      <c r="Q84" s="5"/>
      <c r="R84" s="13">
        <v>1</v>
      </c>
      <c r="S84" s="13">
        <v>3</v>
      </c>
      <c r="T84" s="12"/>
      <c r="U84" s="3"/>
      <c r="V84" s="3"/>
      <c r="W84" s="3"/>
      <c r="X84" s="3"/>
      <c r="Y84" s="3"/>
      <c r="Z84" s="3"/>
      <c r="AA84" s="3"/>
    </row>
    <row r="85" spans="2:27" x14ac:dyDescent="0.25">
      <c r="D85" s="11">
        <v>406</v>
      </c>
      <c r="E85" s="11" t="s">
        <v>98</v>
      </c>
      <c r="F85" s="11" t="s">
        <v>256</v>
      </c>
      <c r="G85" s="11"/>
      <c r="H85" s="34"/>
      <c r="I85" s="34"/>
      <c r="J85" s="34"/>
      <c r="K85" s="34"/>
      <c r="L85" s="157"/>
      <c r="M85" s="34"/>
      <c r="N85" s="34"/>
      <c r="O85" s="34"/>
      <c r="P85" s="34"/>
      <c r="Q85" s="6"/>
      <c r="R85" s="34"/>
      <c r="S85" s="34"/>
      <c r="T85" s="34"/>
      <c r="U85" s="13">
        <v>1700</v>
      </c>
      <c r="V85" s="13">
        <v>1347.2874946823706</v>
      </c>
      <c r="W85" s="13">
        <v>952.95944745826216</v>
      </c>
      <c r="X85" s="13">
        <v>722.93475324419876</v>
      </c>
      <c r="Y85" s="13">
        <v>1840.1975537125065</v>
      </c>
      <c r="Z85" s="13">
        <v>1905.9188949165243</v>
      </c>
      <c r="AA85" s="13">
        <v>2201.6649303346053</v>
      </c>
    </row>
    <row r="86" spans="2:27" x14ac:dyDescent="0.25">
      <c r="B86" s="1" t="s">
        <v>39</v>
      </c>
      <c r="G86" s="1"/>
      <c r="H86" s="5"/>
      <c r="I86" s="5"/>
      <c r="J86" s="5"/>
      <c r="K86" s="5"/>
      <c r="L86" s="25"/>
      <c r="M86" s="5"/>
      <c r="N86" s="5"/>
      <c r="O86" s="5"/>
      <c r="P86" s="5"/>
      <c r="Q86" s="3"/>
      <c r="R86" s="5"/>
      <c r="S86" s="5"/>
      <c r="T86" s="3"/>
      <c r="U86" s="34"/>
      <c r="V86" s="5"/>
      <c r="W86" s="12"/>
      <c r="X86" s="5"/>
      <c r="Y86" s="12"/>
      <c r="Z86" s="12"/>
      <c r="AA86" s="12"/>
    </row>
    <row r="87" spans="2:27" x14ac:dyDescent="0.25">
      <c r="D87" s="11">
        <v>301</v>
      </c>
      <c r="E87" s="11" t="s">
        <v>98</v>
      </c>
      <c r="F87" t="s">
        <v>106</v>
      </c>
      <c r="H87" s="13">
        <v>2518795</v>
      </c>
      <c r="I87" s="13">
        <v>2518795</v>
      </c>
      <c r="J87" s="13">
        <v>2702357</v>
      </c>
      <c r="K87" s="13">
        <v>2705156</v>
      </c>
      <c r="L87" s="156">
        <v>2555000.0000000005</v>
      </c>
      <c r="M87" s="13">
        <v>1867991.820132005</v>
      </c>
      <c r="N87" s="13">
        <v>2223580</v>
      </c>
      <c r="O87" s="13">
        <v>1975585.6154876505</v>
      </c>
      <c r="P87" s="13">
        <v>1913404.2545993994</v>
      </c>
      <c r="Q87" s="13">
        <v>2034588.9843350144</v>
      </c>
      <c r="R87" s="13">
        <v>1821980.0771724321</v>
      </c>
      <c r="S87" s="13">
        <v>1912277.1864161333</v>
      </c>
      <c r="T87" s="13">
        <v>1970806.4261522552</v>
      </c>
      <c r="U87" s="13">
        <v>2147283</v>
      </c>
      <c r="V87" s="13">
        <v>2237622</v>
      </c>
      <c r="W87" s="3"/>
      <c r="X87" s="12"/>
      <c r="Y87" s="3"/>
      <c r="Z87" s="3"/>
      <c r="AA87" s="3"/>
    </row>
    <row r="88" spans="2:27" x14ac:dyDescent="0.25">
      <c r="D88" s="11">
        <v>206</v>
      </c>
      <c r="E88" s="11" t="s">
        <v>98</v>
      </c>
      <c r="F88" s="11" t="s">
        <v>249</v>
      </c>
      <c r="G88" s="11"/>
      <c r="H88" s="13">
        <v>51051</v>
      </c>
      <c r="I88" s="13">
        <v>38542</v>
      </c>
      <c r="J88" s="13">
        <v>30792</v>
      </c>
      <c r="K88" s="13">
        <v>26488</v>
      </c>
      <c r="L88" s="156">
        <v>19937.000000000004</v>
      </c>
      <c r="M88" s="13">
        <v>15911</v>
      </c>
      <c r="N88" s="13">
        <v>9390.9999999999982</v>
      </c>
      <c r="O88" s="13">
        <v>5056</v>
      </c>
      <c r="P88" s="13">
        <v>4191</v>
      </c>
      <c r="Q88" s="13">
        <v>5797</v>
      </c>
      <c r="R88" s="13">
        <v>8496</v>
      </c>
      <c r="S88" s="13">
        <v>11747</v>
      </c>
      <c r="T88" s="12"/>
      <c r="U88" s="12"/>
      <c r="V88" s="12"/>
      <c r="W88" s="3"/>
      <c r="X88" s="3"/>
      <c r="Y88" s="3"/>
      <c r="Z88" s="3"/>
      <c r="AA88" s="3"/>
    </row>
    <row r="89" spans="2:27" x14ac:dyDescent="0.25">
      <c r="D89" s="11">
        <v>207</v>
      </c>
      <c r="E89" s="27" t="s">
        <v>98</v>
      </c>
      <c r="F89" t="s">
        <v>250</v>
      </c>
      <c r="H89" s="34"/>
      <c r="I89" s="13">
        <v>1477</v>
      </c>
      <c r="J89" s="13">
        <v>435</v>
      </c>
      <c r="K89" s="13">
        <v>2116</v>
      </c>
      <c r="L89" s="156">
        <v>3220</v>
      </c>
      <c r="M89" s="13">
        <v>514</v>
      </c>
      <c r="N89" s="13">
        <v>162</v>
      </c>
      <c r="O89" s="13">
        <v>968</v>
      </c>
      <c r="P89" s="13">
        <v>2377</v>
      </c>
      <c r="Q89" s="13">
        <v>9371</v>
      </c>
      <c r="R89" s="13">
        <v>8348</v>
      </c>
      <c r="S89" s="13">
        <v>6582</v>
      </c>
      <c r="T89" s="3"/>
      <c r="U89" s="3"/>
      <c r="V89" s="3"/>
      <c r="W89" s="3"/>
      <c r="X89" s="3"/>
      <c r="Y89" s="3"/>
      <c r="Z89" s="3"/>
      <c r="AA89" s="3"/>
    </row>
    <row r="90" spans="2:27" x14ac:dyDescent="0.25">
      <c r="B90" s="28" t="s">
        <v>272</v>
      </c>
      <c r="C90" s="28"/>
      <c r="D90" s="14"/>
      <c r="E90" s="29"/>
      <c r="G90" s="1"/>
      <c r="H90" s="12"/>
      <c r="I90" s="12"/>
      <c r="J90" s="12"/>
      <c r="K90" s="12"/>
      <c r="L90" s="158"/>
      <c r="M90" s="12"/>
      <c r="N90" s="12"/>
      <c r="O90" s="12"/>
      <c r="P90" s="12"/>
      <c r="Q90" s="12"/>
      <c r="R90" s="12"/>
      <c r="S90" s="12"/>
      <c r="T90" s="3"/>
      <c r="U90" s="3"/>
      <c r="V90" s="3"/>
      <c r="W90" s="3"/>
      <c r="X90" s="3"/>
      <c r="Y90" s="3"/>
      <c r="Z90" s="3"/>
      <c r="AA90" s="3"/>
    </row>
    <row r="91" spans="2:27" x14ac:dyDescent="0.25">
      <c r="B91" s="28"/>
      <c r="C91" s="28"/>
      <c r="D91" s="11">
        <v>301</v>
      </c>
      <c r="E91" s="11" t="s">
        <v>98</v>
      </c>
      <c r="F91" t="s">
        <v>106</v>
      </c>
      <c r="H91" s="12"/>
      <c r="I91" s="12"/>
      <c r="J91" s="12"/>
      <c r="K91" s="12"/>
      <c r="L91" s="158"/>
      <c r="M91" s="12"/>
      <c r="N91" s="12"/>
      <c r="O91" s="12"/>
      <c r="P91" s="12"/>
      <c r="Q91" s="12"/>
      <c r="R91" s="12"/>
      <c r="S91" s="12"/>
      <c r="T91" s="3"/>
      <c r="U91" s="3"/>
      <c r="V91" s="3"/>
      <c r="W91" s="13">
        <v>6748188.5</v>
      </c>
      <c r="X91" s="13">
        <v>5798180</v>
      </c>
      <c r="Y91" s="13">
        <v>5655068</v>
      </c>
      <c r="Z91" s="13">
        <v>5447497</v>
      </c>
      <c r="AA91" s="13">
        <v>5350066</v>
      </c>
    </row>
    <row r="92" spans="2:27" x14ac:dyDescent="0.25">
      <c r="B92" s="28"/>
      <c r="C92" s="28"/>
      <c r="D92" s="37">
        <v>208</v>
      </c>
      <c r="E92" s="11" t="s">
        <v>98</v>
      </c>
      <c r="F92" t="s">
        <v>255</v>
      </c>
      <c r="H92" s="13">
        <v>106090.90865999996</v>
      </c>
      <c r="I92" s="13">
        <v>163470.31963470322</v>
      </c>
      <c r="J92" s="13">
        <v>166210.04566210043</v>
      </c>
      <c r="K92" s="13">
        <v>172511.05940913246</v>
      </c>
      <c r="L92" s="156">
        <v>244189.95433789981</v>
      </c>
      <c r="M92" s="13">
        <v>181735.15981735149</v>
      </c>
      <c r="N92" s="13">
        <v>340531.70507206209</v>
      </c>
      <c r="O92" s="13">
        <v>275799.086757991</v>
      </c>
      <c r="P92" s="13">
        <v>218553.42465753423</v>
      </c>
      <c r="Q92" s="13">
        <v>90213.698630137136</v>
      </c>
      <c r="R92" s="13">
        <v>25238.356164383586</v>
      </c>
      <c r="S92" s="13">
        <v>25238.356164383586</v>
      </c>
      <c r="T92" s="13">
        <v>21479.452054794529</v>
      </c>
      <c r="U92" s="13">
        <v>48328.76712328766</v>
      </c>
      <c r="V92" s="13">
        <v>49939.726027397206</v>
      </c>
      <c r="W92" s="13">
        <v>85917.808219178114</v>
      </c>
      <c r="X92" s="13">
        <v>35978.082191780908</v>
      </c>
      <c r="Y92" s="13">
        <v>33830.136986301397</v>
      </c>
      <c r="Z92" s="13">
        <v>23090.410958904191</v>
      </c>
      <c r="AA92" s="13">
        <v>21479.452054794529</v>
      </c>
    </row>
    <row r="93" spans="2:27" x14ac:dyDescent="0.25">
      <c r="B93" s="30"/>
      <c r="C93" s="30"/>
      <c r="D93" s="37">
        <v>206</v>
      </c>
      <c r="E93" s="11" t="s">
        <v>98</v>
      </c>
      <c r="F93" s="11" t="s">
        <v>249</v>
      </c>
      <c r="G93" s="1"/>
      <c r="H93" s="13">
        <v>61807.86171091022</v>
      </c>
      <c r="I93" s="13">
        <v>63725.49019607855</v>
      </c>
      <c r="J93" s="13">
        <v>67566.146009401884</v>
      </c>
      <c r="K93" s="13">
        <v>66714.039215686265</v>
      </c>
      <c r="L93" s="156">
        <v>73333.333333333023</v>
      </c>
      <c r="M93" s="13">
        <v>74683.941101671197</v>
      </c>
      <c r="N93" s="13">
        <v>71568.627450980246</v>
      </c>
      <c r="O93" s="13">
        <v>63235.784418082796</v>
      </c>
      <c r="P93" s="13">
        <v>59705.882352941204</v>
      </c>
      <c r="Q93" s="13">
        <v>64823.529411764815</v>
      </c>
      <c r="R93" s="13">
        <v>68235.294117647223</v>
      </c>
      <c r="S93" s="13">
        <v>76764.705882352777</v>
      </c>
      <c r="T93" s="13">
        <v>88044.842352941167</v>
      </c>
      <c r="U93" s="13">
        <v>107316.50588235306</v>
      </c>
      <c r="V93" s="13">
        <v>153921.76470588194</v>
      </c>
      <c r="W93" s="13">
        <v>122183.82352941157</v>
      </c>
      <c r="X93" s="13">
        <v>137852.35294117639</v>
      </c>
      <c r="Y93" s="13">
        <v>175535.29411764722</v>
      </c>
      <c r="Z93" s="13">
        <v>136265.8823529412</v>
      </c>
      <c r="AA93" s="13">
        <v>113850.58823529421</v>
      </c>
    </row>
    <row r="94" spans="2:27" x14ac:dyDescent="0.25">
      <c r="B94" s="30"/>
      <c r="C94" s="30"/>
      <c r="D94" s="37">
        <v>207</v>
      </c>
      <c r="E94" s="11" t="s">
        <v>98</v>
      </c>
      <c r="F94" t="s">
        <v>250</v>
      </c>
      <c r="G94" s="1"/>
      <c r="H94" s="13">
        <v>53369.356707259925</v>
      </c>
      <c r="I94" s="13">
        <v>318367.3469387755</v>
      </c>
      <c r="J94" s="13">
        <v>364285.71428571432</v>
      </c>
      <c r="K94" s="13">
        <v>260000.00000000006</v>
      </c>
      <c r="L94" s="156">
        <v>193794.13265306118</v>
      </c>
      <c r="M94" s="13">
        <v>41080.618548604893</v>
      </c>
      <c r="N94" s="13">
        <v>229922.0337551008</v>
      </c>
      <c r="O94" s="13">
        <v>194506.81313636363</v>
      </c>
      <c r="P94" s="13">
        <v>283500</v>
      </c>
      <c r="Q94" s="13">
        <v>236250</v>
      </c>
      <c r="R94" s="13">
        <v>274050</v>
      </c>
      <c r="S94" s="13">
        <v>371385</v>
      </c>
      <c r="T94" s="13">
        <v>623162</v>
      </c>
      <c r="U94" s="13">
        <v>586725</v>
      </c>
      <c r="V94" s="13">
        <v>500850</v>
      </c>
      <c r="W94" s="13">
        <v>793800</v>
      </c>
      <c r="X94" s="13">
        <v>905309.99999999977</v>
      </c>
      <c r="Y94" s="13">
        <v>786240</v>
      </c>
      <c r="Z94" s="13">
        <v>706860</v>
      </c>
      <c r="AA94" s="13">
        <v>581175</v>
      </c>
    </row>
    <row r="95" spans="2:27" x14ac:dyDescent="0.25">
      <c r="B95" s="30"/>
      <c r="C95" s="30"/>
      <c r="D95" s="37">
        <v>209</v>
      </c>
      <c r="E95" s="11" t="s">
        <v>98</v>
      </c>
      <c r="F95" s="2" t="s">
        <v>268</v>
      </c>
      <c r="G95" s="1"/>
      <c r="H95" s="13">
        <v>88610.166625535712</v>
      </c>
      <c r="I95" s="13">
        <v>84513.547182380848</v>
      </c>
      <c r="J95" s="13">
        <v>80882.991475410105</v>
      </c>
      <c r="K95" s="13">
        <v>108212.56038647343</v>
      </c>
      <c r="L95" s="156">
        <v>149536.23188405798</v>
      </c>
      <c r="M95" s="3"/>
      <c r="N95" s="3"/>
      <c r="O95" s="3"/>
      <c r="P95" s="3"/>
      <c r="Q95" s="3"/>
      <c r="R95" s="3"/>
      <c r="S95" s="3"/>
      <c r="T95" s="155"/>
      <c r="U95" s="3"/>
      <c r="V95" s="3"/>
      <c r="W95" s="34"/>
      <c r="X95" s="3"/>
      <c r="Y95" s="3"/>
      <c r="Z95" s="3"/>
      <c r="AA95" s="3"/>
    </row>
    <row r="96" spans="2:27" x14ac:dyDescent="0.25">
      <c r="B96" s="30"/>
      <c r="C96" s="30"/>
      <c r="D96" s="27">
        <v>210</v>
      </c>
      <c r="E96" s="11" t="s">
        <v>98</v>
      </c>
      <c r="F96" s="2" t="s">
        <v>252</v>
      </c>
      <c r="G96" s="1"/>
      <c r="H96" s="34"/>
      <c r="I96" s="34"/>
      <c r="J96" s="13">
        <v>88349.514563106757</v>
      </c>
      <c r="K96" s="13">
        <v>78640.776699029142</v>
      </c>
      <c r="L96" s="18"/>
      <c r="M96" s="3"/>
      <c r="N96" s="3"/>
      <c r="O96" s="3"/>
      <c r="P96" s="3"/>
      <c r="Q96" s="3"/>
      <c r="R96" s="3"/>
      <c r="S96" s="3"/>
      <c r="T96" s="24"/>
      <c r="U96" s="3"/>
      <c r="V96" s="3"/>
      <c r="W96" s="3"/>
      <c r="X96" s="3"/>
      <c r="Y96" s="3"/>
      <c r="Z96" s="3"/>
      <c r="AA96" s="3"/>
    </row>
    <row r="97" spans="1:27" x14ac:dyDescent="0.25">
      <c r="A97" s="10" t="s">
        <v>50</v>
      </c>
      <c r="B97" s="1" t="s">
        <v>18</v>
      </c>
      <c r="H97" s="3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159"/>
      <c r="U97" s="3"/>
      <c r="V97" s="3"/>
      <c r="W97" s="3"/>
      <c r="X97" s="3"/>
      <c r="Y97" s="3"/>
      <c r="Z97" s="3"/>
      <c r="AA97" s="159"/>
    </row>
    <row r="98" spans="1:27" x14ac:dyDescent="0.25">
      <c r="A98" s="10" t="s">
        <v>53</v>
      </c>
      <c r="B98" s="1" t="s">
        <v>54</v>
      </c>
      <c r="H98" s="3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159"/>
      <c r="X98" s="3"/>
      <c r="Y98" s="3"/>
      <c r="Z98" s="3"/>
      <c r="AA98" s="3"/>
    </row>
    <row r="99" spans="1:27" x14ac:dyDescent="0.25">
      <c r="A99" s="20" t="s">
        <v>80</v>
      </c>
      <c r="B99" s="21" t="s">
        <v>81</v>
      </c>
      <c r="C99" s="2"/>
      <c r="D99" s="27"/>
      <c r="E99" s="2"/>
      <c r="F99" s="2"/>
      <c r="G99" s="2"/>
      <c r="H99" s="3"/>
      <c r="I99" s="3"/>
      <c r="J99" s="3"/>
      <c r="K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20"/>
      <c r="B100" s="21"/>
      <c r="C100" s="2"/>
      <c r="D100" s="27">
        <v>210</v>
      </c>
      <c r="E100" s="11" t="s">
        <v>98</v>
      </c>
      <c r="F100" s="2" t="s">
        <v>252</v>
      </c>
      <c r="G100" s="2"/>
      <c r="H100" s="13">
        <v>695374.01879520004</v>
      </c>
      <c r="I100" s="13">
        <v>826339.45072000008</v>
      </c>
      <c r="J100" s="13">
        <v>824974.45592000009</v>
      </c>
      <c r="K100" s="13">
        <v>752311.92088000011</v>
      </c>
      <c r="L100" s="156">
        <v>680474.81440000003</v>
      </c>
      <c r="M100" s="13">
        <v>687371.77312000014</v>
      </c>
      <c r="N100" s="13">
        <v>729649.85600000003</v>
      </c>
      <c r="O100" s="13">
        <v>607457.63199999998</v>
      </c>
      <c r="P100" s="13">
        <v>617506.728</v>
      </c>
      <c r="Q100" s="13">
        <v>743863.38400000008</v>
      </c>
      <c r="R100" s="13">
        <v>870770.29343689326</v>
      </c>
      <c r="S100" s="13">
        <v>891662.30679611652</v>
      </c>
      <c r="T100" s="13">
        <v>825405.41374757292</v>
      </c>
      <c r="U100" s="13">
        <v>670037.25856310688</v>
      </c>
      <c r="V100" s="160">
        <v>660146.32873375341</v>
      </c>
      <c r="W100" s="160">
        <v>581163.96535572107</v>
      </c>
      <c r="X100" s="13">
        <v>482578.18085112813</v>
      </c>
      <c r="Y100" s="13">
        <v>475646.11858475819</v>
      </c>
      <c r="Z100" s="13">
        <v>403659.31812630262</v>
      </c>
      <c r="AA100" s="13">
        <v>430321.09607387881</v>
      </c>
    </row>
    <row r="101" spans="1:27" x14ac:dyDescent="0.25">
      <c r="A101" s="20" t="s">
        <v>82</v>
      </c>
      <c r="B101" s="21" t="s">
        <v>83</v>
      </c>
      <c r="C101" s="2"/>
      <c r="D101" s="27"/>
      <c r="E101" s="2"/>
      <c r="F101" s="2"/>
      <c r="G101" s="2"/>
      <c r="H101" s="3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26"/>
      <c r="U101" s="3"/>
      <c r="V101" s="3"/>
      <c r="W101" s="3"/>
      <c r="X101" s="3"/>
      <c r="Y101" s="3"/>
      <c r="Z101" s="3"/>
      <c r="AA101" s="3"/>
    </row>
    <row r="102" spans="1:27" x14ac:dyDescent="0.25">
      <c r="A102" s="20"/>
      <c r="B102" s="21"/>
      <c r="C102" s="2"/>
      <c r="D102" s="27">
        <v>210</v>
      </c>
      <c r="E102" s="11" t="s">
        <v>98</v>
      </c>
      <c r="F102" s="2" t="s">
        <v>252</v>
      </c>
      <c r="G102" s="2"/>
      <c r="H102" s="13">
        <v>326846.96019680001</v>
      </c>
      <c r="I102" s="13">
        <v>401813.92368000007</v>
      </c>
      <c r="J102" s="13">
        <v>389692.98639999999</v>
      </c>
      <c r="K102" s="13">
        <v>353438.51928000007</v>
      </c>
      <c r="L102" s="156">
        <v>333867.03016000002</v>
      </c>
      <c r="M102" s="13">
        <v>366470.92096000002</v>
      </c>
      <c r="N102" s="13">
        <v>358636.45600000001</v>
      </c>
      <c r="O102" s="13">
        <v>315317.152</v>
      </c>
      <c r="P102" s="13">
        <v>333754.90400000004</v>
      </c>
      <c r="Q102" s="13">
        <v>387687.288</v>
      </c>
      <c r="R102" s="13">
        <v>516504.85436893202</v>
      </c>
      <c r="S102" s="13">
        <v>462135.92233009712</v>
      </c>
      <c r="T102" s="13">
        <v>397087.37864077679</v>
      </c>
      <c r="U102" s="13">
        <v>417475.72815533972</v>
      </c>
      <c r="V102" s="160">
        <v>340110.66447013034</v>
      </c>
      <c r="W102" s="160">
        <v>299418.55891612376</v>
      </c>
      <c r="X102" s="13">
        <v>248626.67351780413</v>
      </c>
      <c r="Y102" s="13">
        <v>245055.2406385428</v>
      </c>
      <c r="Z102" s="13">
        <v>207967.28381544497</v>
      </c>
      <c r="AA102" s="13">
        <v>221703.5641202961</v>
      </c>
    </row>
    <row r="103" spans="1:27" x14ac:dyDescent="0.25">
      <c r="A103" s="10" t="s">
        <v>55</v>
      </c>
      <c r="B103" s="1" t="s">
        <v>56</v>
      </c>
      <c r="H103" s="3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26"/>
      <c r="U103" s="3"/>
      <c r="V103" s="3"/>
      <c r="W103" s="3"/>
      <c r="X103" s="3"/>
      <c r="Y103" s="3"/>
      <c r="Z103" s="3"/>
      <c r="AA103" s="3"/>
    </row>
    <row r="104" spans="1:27" x14ac:dyDescent="0.25">
      <c r="A104" s="10"/>
      <c r="B104" s="21" t="s">
        <v>147</v>
      </c>
      <c r="C104" s="2"/>
      <c r="D104" s="27"/>
      <c r="E104" s="2"/>
      <c r="F104" s="2"/>
      <c r="G104" s="2"/>
      <c r="H104" s="3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26"/>
      <c r="U104" s="3"/>
      <c r="V104" s="3"/>
      <c r="W104" s="3"/>
      <c r="X104" s="3"/>
      <c r="Y104" s="3"/>
      <c r="Z104" s="3"/>
      <c r="AA104" s="3"/>
    </row>
    <row r="105" spans="1:27" x14ac:dyDescent="0.25">
      <c r="A105" s="10"/>
      <c r="B105" s="21"/>
      <c r="C105" s="2"/>
      <c r="D105" s="27">
        <v>301</v>
      </c>
      <c r="E105" s="27" t="s">
        <v>98</v>
      </c>
      <c r="F105" s="2" t="s">
        <v>100</v>
      </c>
      <c r="G105" s="2"/>
      <c r="H105" s="13">
        <v>2761088</v>
      </c>
      <c r="I105" s="13">
        <v>2632869</v>
      </c>
      <c r="J105" s="13">
        <v>2728461</v>
      </c>
      <c r="K105" s="13">
        <v>2857816</v>
      </c>
      <c r="L105" s="156">
        <v>3041915</v>
      </c>
      <c r="M105" s="13">
        <v>3166975</v>
      </c>
      <c r="N105" s="13">
        <v>3044477</v>
      </c>
      <c r="O105" s="13">
        <v>2639989</v>
      </c>
      <c r="P105" s="13">
        <v>2040319</v>
      </c>
      <c r="Q105" s="13">
        <v>1850565</v>
      </c>
      <c r="R105" s="13">
        <v>1508915</v>
      </c>
      <c r="S105" s="13">
        <v>1411854</v>
      </c>
      <c r="T105" s="13">
        <v>1267936</v>
      </c>
      <c r="U105" s="13">
        <v>1091846</v>
      </c>
      <c r="V105" s="13">
        <v>1007209</v>
      </c>
      <c r="W105" s="13">
        <v>940372</v>
      </c>
      <c r="X105" s="13">
        <v>760487</v>
      </c>
      <c r="Y105" s="13">
        <v>564014</v>
      </c>
      <c r="Z105" s="13">
        <v>380763</v>
      </c>
      <c r="AA105" s="13">
        <v>217913</v>
      </c>
    </row>
    <row r="106" spans="1:27" x14ac:dyDescent="0.25">
      <c r="A106" s="10"/>
      <c r="B106" s="21"/>
      <c r="C106" s="2"/>
      <c r="D106" s="27">
        <v>206</v>
      </c>
      <c r="E106" s="27" t="s">
        <v>98</v>
      </c>
      <c r="F106" s="2" t="s">
        <v>249</v>
      </c>
      <c r="G106" s="2"/>
      <c r="H106" s="160">
        <v>8008677.0525124995</v>
      </c>
      <c r="I106" s="160">
        <v>4877523.8341650143</v>
      </c>
      <c r="J106" s="13">
        <v>5104084.4743917566</v>
      </c>
      <c r="K106" s="13">
        <v>5796251.7840350308</v>
      </c>
      <c r="L106" s="156">
        <v>6175827.5584748648</v>
      </c>
      <c r="M106" s="13">
        <v>5830230.2714290069</v>
      </c>
      <c r="N106" s="13">
        <v>5586268.4098855173</v>
      </c>
      <c r="O106" s="13">
        <v>5274324.7217935929</v>
      </c>
      <c r="P106" s="13">
        <v>5223457.5522828456</v>
      </c>
      <c r="Q106" s="13">
        <v>5571192.5928442767</v>
      </c>
      <c r="R106" s="13">
        <v>5938686.8154090643</v>
      </c>
      <c r="S106" s="13">
        <v>6074029.8578242548</v>
      </c>
      <c r="T106" s="13">
        <v>5609331.1434143912</v>
      </c>
      <c r="U106" s="13">
        <v>5105041.3333591102</v>
      </c>
      <c r="V106" s="13">
        <v>4775965.5807259595</v>
      </c>
      <c r="W106" s="13">
        <v>4411783.1875268715</v>
      </c>
      <c r="X106" s="13">
        <v>4137636.1504493728</v>
      </c>
      <c r="Y106" s="13">
        <v>3757382.6416149917</v>
      </c>
      <c r="Z106" s="13">
        <v>3655916.0695740283</v>
      </c>
      <c r="AA106" s="13">
        <v>3278880.4537721337</v>
      </c>
    </row>
    <row r="107" spans="1:27" x14ac:dyDescent="0.25">
      <c r="A107" s="10"/>
      <c r="B107" s="21"/>
      <c r="C107" s="2"/>
      <c r="D107" s="27">
        <v>209</v>
      </c>
      <c r="E107" s="27" t="s">
        <v>98</v>
      </c>
      <c r="F107" s="2" t="s">
        <v>268</v>
      </c>
      <c r="G107" s="2"/>
      <c r="H107" s="13">
        <v>4948461.2324804999</v>
      </c>
      <c r="I107" s="13">
        <v>5197371.0334369624</v>
      </c>
      <c r="J107" s="13">
        <v>4974100.9696924035</v>
      </c>
      <c r="K107" s="13">
        <v>1917777.7777777778</v>
      </c>
      <c r="L107" s="156">
        <v>2960386.4734299518</v>
      </c>
      <c r="M107" s="13">
        <v>3093330.5819055061</v>
      </c>
      <c r="N107" s="13">
        <v>3116624.8802789352</v>
      </c>
      <c r="O107" s="13">
        <v>2227119.8338107825</v>
      </c>
      <c r="P107" s="13">
        <v>2878165.4106280198</v>
      </c>
      <c r="Q107" s="13">
        <v>2866405.7971014492</v>
      </c>
      <c r="R107" s="13">
        <v>3851273.4299516906</v>
      </c>
      <c r="S107" s="13">
        <v>4245955.4589371979</v>
      </c>
      <c r="T107" s="13">
        <v>4390010.7246376816</v>
      </c>
      <c r="U107" s="13">
        <v>4711930.1449275361</v>
      </c>
      <c r="V107" s="13">
        <v>4876564.7342995172</v>
      </c>
      <c r="W107" s="13">
        <v>4878034.6859903382</v>
      </c>
      <c r="X107" s="13">
        <v>4760438.5507246377</v>
      </c>
      <c r="Y107" s="13">
        <v>4657541.9323671497</v>
      </c>
      <c r="Z107" s="13">
        <v>4298138.7439613538</v>
      </c>
      <c r="AA107" s="13">
        <v>4336357.4879227048</v>
      </c>
    </row>
    <row r="108" spans="1:27" x14ac:dyDescent="0.25">
      <c r="A108" s="10"/>
      <c r="B108" s="21"/>
      <c r="C108" s="2"/>
      <c r="D108" s="27">
        <v>405</v>
      </c>
      <c r="E108" s="27" t="s">
        <v>98</v>
      </c>
      <c r="F108" s="2" t="s">
        <v>251</v>
      </c>
      <c r="G108" s="2"/>
      <c r="H108" s="13">
        <v>700198.6060817556</v>
      </c>
      <c r="I108" s="13">
        <v>1620.3272604903027</v>
      </c>
      <c r="J108" s="34"/>
      <c r="K108" s="3"/>
      <c r="L108" s="18"/>
      <c r="M108" s="3"/>
      <c r="N108" s="3"/>
      <c r="O108" s="3"/>
      <c r="P108" s="3"/>
      <c r="Q108" s="3"/>
      <c r="R108" s="3"/>
      <c r="S108" s="3"/>
      <c r="T108" s="26"/>
      <c r="U108" s="3"/>
      <c r="V108" s="3"/>
      <c r="W108" s="3"/>
      <c r="X108" s="3"/>
      <c r="Y108" s="3"/>
      <c r="Z108" s="3"/>
      <c r="AA108" s="3"/>
    </row>
    <row r="109" spans="1:27" x14ac:dyDescent="0.25">
      <c r="A109" s="10"/>
      <c r="B109" s="21"/>
      <c r="C109" s="2"/>
      <c r="D109" s="27">
        <v>404</v>
      </c>
      <c r="E109" s="27" t="s">
        <v>98</v>
      </c>
      <c r="F109" s="2" t="s">
        <v>259</v>
      </c>
      <c r="G109" s="2"/>
      <c r="H109" s="13">
        <v>138401.8452847609</v>
      </c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10"/>
      <c r="B110" s="21" t="s">
        <v>146</v>
      </c>
      <c r="C110" s="2"/>
      <c r="D110" s="27"/>
      <c r="E110" s="2"/>
      <c r="F110" s="2"/>
      <c r="G110" s="2"/>
      <c r="H110" s="3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10"/>
      <c r="B111" s="21"/>
      <c r="C111" s="2"/>
      <c r="D111" s="27">
        <v>206</v>
      </c>
      <c r="E111" s="27" t="s">
        <v>98</v>
      </c>
      <c r="F111" s="2" t="s">
        <v>249</v>
      </c>
      <c r="G111" s="2"/>
      <c r="H111" s="13">
        <v>991451.04706699995</v>
      </c>
      <c r="I111" s="13">
        <v>601104.3789895887</v>
      </c>
      <c r="J111" s="13">
        <v>629025.63526168524</v>
      </c>
      <c r="K111" s="13">
        <v>714328.09916881251</v>
      </c>
      <c r="L111" s="156">
        <v>761106.88855697506</v>
      </c>
      <c r="M111" s="13">
        <v>718515.59640273592</v>
      </c>
      <c r="N111" s="13">
        <v>688449.81953188905</v>
      </c>
      <c r="O111" s="13">
        <v>650005.98547068273</v>
      </c>
      <c r="P111" s="13">
        <v>643737.13279475307</v>
      </c>
      <c r="Q111" s="13">
        <v>686591.88096542633</v>
      </c>
      <c r="R111" s="13">
        <v>1104513.6432993985</v>
      </c>
      <c r="S111" s="13">
        <v>1131728.4851081423</v>
      </c>
      <c r="T111" s="13">
        <v>1047038.1031207335</v>
      </c>
      <c r="U111" s="13">
        <v>954636.81453245191</v>
      </c>
      <c r="V111" s="13">
        <v>894723.9090571712</v>
      </c>
      <c r="W111" s="13">
        <v>834081.23801660805</v>
      </c>
      <c r="X111" s="13">
        <v>784651.28694563289</v>
      </c>
      <c r="Y111" s="13">
        <v>714733.45047582733</v>
      </c>
      <c r="Z111" s="13">
        <v>697578.84575834358</v>
      </c>
      <c r="AA111" s="13">
        <v>627574.38198438997</v>
      </c>
    </row>
    <row r="112" spans="1:27" x14ac:dyDescent="0.25">
      <c r="A112" s="10" t="s">
        <v>57</v>
      </c>
      <c r="B112" s="1" t="s">
        <v>58</v>
      </c>
      <c r="H112" s="3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26"/>
      <c r="U112" s="3"/>
      <c r="V112" s="3"/>
      <c r="W112" s="3"/>
      <c r="X112" s="3"/>
      <c r="Y112" s="3"/>
      <c r="Z112" s="3"/>
      <c r="AA112" s="3"/>
    </row>
    <row r="113" spans="1:27" x14ac:dyDescent="0.25">
      <c r="A113" s="10"/>
      <c r="B113" s="1"/>
      <c r="D113" s="11">
        <v>206</v>
      </c>
      <c r="E113" s="11" t="s">
        <v>98</v>
      </c>
      <c r="F113" s="2" t="s">
        <v>249</v>
      </c>
      <c r="G113" s="2"/>
      <c r="H113" s="13">
        <v>72273.973849999995</v>
      </c>
      <c r="I113" s="13">
        <v>42935.78206912204</v>
      </c>
      <c r="J113" s="13">
        <v>44930.146136823496</v>
      </c>
      <c r="K113" s="13">
        <v>51023.144504980468</v>
      </c>
      <c r="L113" s="156">
        <v>54364.467537768243</v>
      </c>
      <c r="M113" s="13">
        <v>51322.249743496621</v>
      </c>
      <c r="N113" s="13">
        <v>49174.706507103241</v>
      </c>
      <c r="O113" s="13">
        <v>46428.73402903213</v>
      </c>
      <c r="P113" s="13">
        <v>45980.961392989142</v>
      </c>
      <c r="Q113" s="160">
        <v>49041.997366768002</v>
      </c>
      <c r="R113" s="160">
        <v>103499.19551848991</v>
      </c>
      <c r="S113" s="13">
        <v>117033.56848333112</v>
      </c>
      <c r="T113" s="13">
        <v>118437.83251788013</v>
      </c>
      <c r="U113" s="13">
        <v>117251.06771436149</v>
      </c>
      <c r="V113" s="13">
        <v>118576.30179765829</v>
      </c>
      <c r="W113" s="13">
        <v>151016.0308391343</v>
      </c>
      <c r="X113" s="13">
        <v>154759.02112757839</v>
      </c>
      <c r="Y113" s="13">
        <v>152530.54253243457</v>
      </c>
      <c r="Z113" s="13">
        <v>160153.71727742121</v>
      </c>
      <c r="AA113" s="13">
        <v>154233.45536471988</v>
      </c>
    </row>
    <row r="114" spans="1:27" x14ac:dyDescent="0.25">
      <c r="A114" s="10" t="s">
        <v>59</v>
      </c>
      <c r="B114" s="1" t="s">
        <v>60</v>
      </c>
      <c r="H114" s="3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26"/>
      <c r="U114" s="3"/>
      <c r="V114" s="3"/>
      <c r="W114" s="3"/>
      <c r="X114" s="3"/>
      <c r="Y114" s="3"/>
      <c r="Z114" s="3"/>
      <c r="AA114" s="3"/>
    </row>
    <row r="115" spans="1:27" x14ac:dyDescent="0.25">
      <c r="A115" s="20" t="s">
        <v>84</v>
      </c>
      <c r="B115" s="21" t="s">
        <v>86</v>
      </c>
      <c r="C115" s="2"/>
      <c r="D115" s="27"/>
      <c r="E115" s="2"/>
      <c r="F115" s="2"/>
      <c r="G115" s="2"/>
      <c r="H115" s="3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26"/>
      <c r="U115" s="3"/>
      <c r="V115" s="3"/>
      <c r="W115" s="3"/>
      <c r="X115" s="3"/>
      <c r="Y115" s="3"/>
      <c r="Z115" s="3"/>
      <c r="AA115" s="3"/>
    </row>
    <row r="116" spans="1:27" x14ac:dyDescent="0.25">
      <c r="A116" s="20"/>
      <c r="B116" s="21"/>
      <c r="C116" s="2"/>
      <c r="D116" s="27">
        <v>206</v>
      </c>
      <c r="E116" s="11" t="s">
        <v>98</v>
      </c>
      <c r="F116" s="2" t="s">
        <v>249</v>
      </c>
      <c r="G116" s="2"/>
      <c r="H116" s="13">
        <v>231374.0833885</v>
      </c>
      <c r="I116" s="13">
        <v>182617.62200499998</v>
      </c>
      <c r="J116" s="13">
        <v>194541.54291000002</v>
      </c>
      <c r="K116" s="13">
        <v>179471.64559999999</v>
      </c>
      <c r="L116" s="156">
        <v>155358.32</v>
      </c>
      <c r="M116" s="13">
        <v>155982.8933</v>
      </c>
      <c r="N116" s="13">
        <v>151242.32499999998</v>
      </c>
      <c r="O116" s="13">
        <v>145348.44999999998</v>
      </c>
      <c r="P116" s="13">
        <v>145031.03419999999</v>
      </c>
      <c r="Q116" s="13">
        <v>155940.52499999999</v>
      </c>
      <c r="R116" s="13">
        <v>169003.38</v>
      </c>
      <c r="S116" s="13">
        <v>161549.63500000001</v>
      </c>
      <c r="T116" s="13">
        <v>215174.18</v>
      </c>
      <c r="U116" s="13">
        <v>154662.88500000001</v>
      </c>
      <c r="V116" s="13">
        <v>161005.45499999999</v>
      </c>
      <c r="W116" s="13">
        <v>121493.25499999999</v>
      </c>
      <c r="X116" s="13">
        <v>111878</v>
      </c>
      <c r="Y116" s="13">
        <v>171821.45499999999</v>
      </c>
      <c r="Z116" s="13">
        <v>188590.47999999998</v>
      </c>
      <c r="AA116" s="13">
        <v>211721.50999999998</v>
      </c>
    </row>
    <row r="117" spans="1:27" x14ac:dyDescent="0.25">
      <c r="A117" s="20"/>
      <c r="B117" s="21"/>
      <c r="C117" s="2"/>
      <c r="D117" s="27">
        <v>207</v>
      </c>
      <c r="E117" s="11" t="s">
        <v>98</v>
      </c>
      <c r="F117" s="2" t="s">
        <v>250</v>
      </c>
      <c r="G117" s="2"/>
      <c r="H117" s="13">
        <v>1183206.73</v>
      </c>
      <c r="I117" s="13">
        <v>729555.12100000004</v>
      </c>
      <c r="J117" s="13">
        <v>722954.82299999997</v>
      </c>
      <c r="K117" s="13">
        <v>677968.87</v>
      </c>
      <c r="L117" s="156">
        <v>581056</v>
      </c>
      <c r="M117" s="13">
        <v>532878.74</v>
      </c>
      <c r="N117" s="13">
        <v>350720</v>
      </c>
      <c r="O117" s="13">
        <v>405121</v>
      </c>
      <c r="P117" s="13">
        <v>357897</v>
      </c>
      <c r="Q117" s="13">
        <v>369306.27</v>
      </c>
      <c r="R117" s="13">
        <v>376146</v>
      </c>
      <c r="S117" s="13">
        <v>374369</v>
      </c>
      <c r="T117" s="13">
        <v>413343</v>
      </c>
      <c r="U117" s="13">
        <v>374338</v>
      </c>
      <c r="V117" s="13">
        <v>360200</v>
      </c>
      <c r="W117" s="13">
        <v>256884</v>
      </c>
      <c r="X117" s="13">
        <v>218900</v>
      </c>
      <c r="Y117" s="13">
        <v>264185</v>
      </c>
      <c r="Z117" s="13">
        <v>226827</v>
      </c>
      <c r="AA117" s="13">
        <v>436685</v>
      </c>
    </row>
    <row r="118" spans="1:27" x14ac:dyDescent="0.25">
      <c r="A118" s="20" t="s">
        <v>85</v>
      </c>
      <c r="B118" s="21" t="s">
        <v>87</v>
      </c>
      <c r="C118" s="2"/>
      <c r="D118" s="27"/>
      <c r="E118" s="2"/>
      <c r="F118" s="2"/>
      <c r="G118" s="2"/>
      <c r="H118" s="3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26"/>
      <c r="U118" s="3"/>
      <c r="V118" s="3"/>
      <c r="W118" s="3"/>
      <c r="X118" s="3"/>
      <c r="Y118" s="3"/>
      <c r="Z118" s="3"/>
      <c r="AA118" s="3"/>
    </row>
    <row r="119" spans="1:27" x14ac:dyDescent="0.25">
      <c r="A119" s="20"/>
      <c r="B119" s="21"/>
      <c r="C119" s="2"/>
      <c r="D119" s="27">
        <v>206</v>
      </c>
      <c r="E119" s="11" t="s">
        <v>98</v>
      </c>
      <c r="F119" s="2" t="s">
        <v>249</v>
      </c>
      <c r="G119" s="2"/>
      <c r="H119" s="13">
        <v>305611.22816250002</v>
      </c>
      <c r="I119" s="13">
        <v>47779.167085000001</v>
      </c>
      <c r="J119" s="13">
        <v>48872.795659999989</v>
      </c>
      <c r="K119" s="13">
        <v>53042.973749999997</v>
      </c>
      <c r="L119" s="156">
        <v>84715.314449999991</v>
      </c>
      <c r="M119" s="13">
        <v>67263.994199999986</v>
      </c>
      <c r="N119" s="13">
        <v>65322.750349999995</v>
      </c>
      <c r="O119" s="13">
        <v>37092.119999999995</v>
      </c>
      <c r="P119" s="13">
        <v>14765.529999999999</v>
      </c>
      <c r="Q119" s="13">
        <v>30526.469999999998</v>
      </c>
      <c r="R119" s="13">
        <v>57241.522243634812</v>
      </c>
      <c r="S119" s="13">
        <v>58561.029760742131</v>
      </c>
      <c r="T119" s="13">
        <v>54692.920946995931</v>
      </c>
      <c r="U119" s="13">
        <v>49541.372629370846</v>
      </c>
      <c r="V119" s="13">
        <v>46557.737830976104</v>
      </c>
      <c r="W119" s="13">
        <v>43178.367146798264</v>
      </c>
      <c r="X119" s="13">
        <v>40600.600300945298</v>
      </c>
      <c r="Y119" s="13">
        <v>37529.835964981372</v>
      </c>
      <c r="Z119" s="13">
        <v>36792.543860794576</v>
      </c>
      <c r="AA119" s="13">
        <v>33429.355937579763</v>
      </c>
    </row>
    <row r="120" spans="1:27" x14ac:dyDescent="0.25">
      <c r="A120" s="20"/>
      <c r="B120" s="21"/>
      <c r="C120" s="2"/>
      <c r="D120" s="27">
        <v>207</v>
      </c>
      <c r="E120" s="11" t="s">
        <v>98</v>
      </c>
      <c r="F120" s="2" t="s">
        <v>250</v>
      </c>
      <c r="G120" s="2"/>
      <c r="H120" s="13">
        <v>136280.527</v>
      </c>
      <c r="I120" s="13">
        <v>8871</v>
      </c>
      <c r="J120" s="13">
        <v>7564.1</v>
      </c>
      <c r="K120" s="13">
        <v>2480</v>
      </c>
      <c r="L120" s="156">
        <v>35418.240000000005</v>
      </c>
      <c r="M120" s="13">
        <v>31038.560000000001</v>
      </c>
      <c r="N120" s="13">
        <v>24852.59</v>
      </c>
      <c r="O120" s="13">
        <v>34373</v>
      </c>
      <c r="P120" s="13">
        <v>44788</v>
      </c>
      <c r="Q120" s="13">
        <v>78369</v>
      </c>
      <c r="R120" s="13">
        <v>47250</v>
      </c>
      <c r="S120" s="13">
        <v>85050</v>
      </c>
      <c r="T120" s="13">
        <v>75600</v>
      </c>
      <c r="U120" s="13">
        <v>94500</v>
      </c>
      <c r="V120" s="13">
        <v>9450</v>
      </c>
      <c r="W120" s="13">
        <v>19845</v>
      </c>
      <c r="X120" s="13">
        <v>18900</v>
      </c>
      <c r="Y120" s="13">
        <v>18900</v>
      </c>
      <c r="Z120" s="13">
        <v>24570.000000000029</v>
      </c>
      <c r="AA120" s="13">
        <v>18900</v>
      </c>
    </row>
    <row r="121" spans="1:27" x14ac:dyDescent="0.25">
      <c r="A121" s="10" t="s">
        <v>61</v>
      </c>
      <c r="B121" s="1" t="s">
        <v>62</v>
      </c>
      <c r="H121" s="3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26"/>
      <c r="U121" s="3"/>
      <c r="V121" s="3"/>
      <c r="W121" s="3"/>
      <c r="X121" s="3"/>
      <c r="Y121" s="3"/>
      <c r="Z121" s="3"/>
      <c r="AA121" s="3"/>
    </row>
    <row r="122" spans="1:27" x14ac:dyDescent="0.25">
      <c r="A122" s="10" t="s">
        <v>63</v>
      </c>
      <c r="B122" s="1" t="s">
        <v>64</v>
      </c>
      <c r="H122" s="3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159"/>
      <c r="U122" s="3"/>
      <c r="V122" s="3"/>
      <c r="W122" s="159"/>
      <c r="X122" s="3"/>
      <c r="Y122" s="3"/>
      <c r="Z122" s="3"/>
      <c r="AA122" s="159"/>
    </row>
    <row r="123" spans="1:27" x14ac:dyDescent="0.25">
      <c r="A123" s="10"/>
      <c r="B123" s="1"/>
      <c r="D123" s="11">
        <v>301</v>
      </c>
      <c r="E123" s="11" t="s">
        <v>98</v>
      </c>
      <c r="F123" t="s">
        <v>8</v>
      </c>
      <c r="H123" s="13">
        <v>1291300.0000000002</v>
      </c>
      <c r="I123" s="13">
        <v>1281500</v>
      </c>
      <c r="J123" s="13">
        <v>1383400</v>
      </c>
      <c r="K123" s="13">
        <v>1448600</v>
      </c>
      <c r="L123" s="156">
        <v>1447900</v>
      </c>
      <c r="M123" s="13">
        <v>1319900</v>
      </c>
      <c r="N123" s="13">
        <v>1260600</v>
      </c>
      <c r="O123" s="13">
        <v>1048800</v>
      </c>
      <c r="P123" s="13">
        <v>939400</v>
      </c>
      <c r="Q123" s="13">
        <v>1026900.0000000001</v>
      </c>
      <c r="R123" s="13">
        <v>991099.99999999988</v>
      </c>
      <c r="S123" s="13">
        <v>928800.00000000012</v>
      </c>
      <c r="T123" s="13">
        <v>883300</v>
      </c>
      <c r="U123" s="13">
        <v>907200</v>
      </c>
      <c r="V123" s="13">
        <v>821000</v>
      </c>
      <c r="W123" s="13">
        <v>719300</v>
      </c>
      <c r="X123" s="13">
        <v>738599.99999999988</v>
      </c>
      <c r="Y123" s="13">
        <v>686507.39418138261</v>
      </c>
      <c r="Z123" s="13">
        <v>669162.08477980923</v>
      </c>
      <c r="AA123" s="13">
        <v>669162.08477980923</v>
      </c>
    </row>
    <row r="124" spans="1:27" x14ac:dyDescent="0.25">
      <c r="A124" s="10"/>
      <c r="B124" s="1"/>
      <c r="D124" s="27">
        <v>206</v>
      </c>
      <c r="E124" s="11" t="s">
        <v>98</v>
      </c>
      <c r="F124" s="2" t="s">
        <v>249</v>
      </c>
      <c r="H124" s="13">
        <v>398</v>
      </c>
      <c r="I124" s="13">
        <v>566</v>
      </c>
      <c r="J124" s="13">
        <v>353.4</v>
      </c>
      <c r="K124" s="13">
        <v>697</v>
      </c>
      <c r="L124" s="156">
        <v>672</v>
      </c>
      <c r="M124" s="13">
        <v>152</v>
      </c>
      <c r="N124" s="13">
        <v>803</v>
      </c>
      <c r="O124" s="13">
        <v>850.00000000000011</v>
      </c>
      <c r="P124" s="13">
        <v>893</v>
      </c>
      <c r="Q124" s="13">
        <v>488.99999999999994</v>
      </c>
      <c r="R124" s="13">
        <v>809</v>
      </c>
      <c r="S124" s="13">
        <v>1638</v>
      </c>
      <c r="T124" s="13">
        <v>1828.32</v>
      </c>
      <c r="U124" s="13">
        <v>1035.5999999999999</v>
      </c>
      <c r="V124" s="13">
        <v>1125.8823529411764</v>
      </c>
      <c r="W124" s="13">
        <v>1279.4117647058824</v>
      </c>
      <c r="X124" s="13">
        <v>1740</v>
      </c>
      <c r="Y124" s="13">
        <v>3070.5882352941176</v>
      </c>
      <c r="Z124" s="13">
        <v>1637.6470588235295</v>
      </c>
      <c r="AA124" s="13">
        <v>1842.3529411764705</v>
      </c>
    </row>
    <row r="125" spans="1:27" x14ac:dyDescent="0.25">
      <c r="A125" s="10"/>
      <c r="B125" s="1"/>
      <c r="D125" s="11">
        <v>303</v>
      </c>
      <c r="E125" s="11" t="s">
        <v>98</v>
      </c>
      <c r="F125" s="11" t="s">
        <v>10</v>
      </c>
      <c r="H125" s="13">
        <v>26933</v>
      </c>
      <c r="I125" s="13">
        <v>25000</v>
      </c>
      <c r="J125" s="13">
        <v>24000</v>
      </c>
      <c r="K125" s="13">
        <v>16681</v>
      </c>
      <c r="L125" s="156">
        <v>30000</v>
      </c>
      <c r="M125" s="13">
        <v>18000</v>
      </c>
      <c r="N125" s="13">
        <v>22000</v>
      </c>
      <c r="O125" s="13">
        <v>10000</v>
      </c>
      <c r="P125" s="13">
        <v>11426</v>
      </c>
      <c r="Q125" s="13">
        <v>11531</v>
      </c>
      <c r="R125" s="13">
        <v>11070</v>
      </c>
      <c r="S125" s="13">
        <v>9011</v>
      </c>
      <c r="T125" s="13">
        <v>10365.52</v>
      </c>
      <c r="U125" s="13">
        <v>7183.88</v>
      </c>
      <c r="V125" s="13">
        <v>7700</v>
      </c>
      <c r="W125" s="13">
        <v>7920</v>
      </c>
      <c r="X125" s="13">
        <v>10560</v>
      </c>
      <c r="Y125" s="13">
        <v>7040</v>
      </c>
      <c r="Z125" s="13">
        <v>8360</v>
      </c>
      <c r="AA125" s="13">
        <v>8800</v>
      </c>
    </row>
    <row r="126" spans="1:27" x14ac:dyDescent="0.25">
      <c r="A126" s="10" t="s">
        <v>66</v>
      </c>
      <c r="B126" s="1" t="s">
        <v>65</v>
      </c>
      <c r="H126" s="3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26"/>
      <c r="U126" s="3"/>
      <c r="V126" s="3"/>
      <c r="W126" s="3"/>
      <c r="X126" s="3"/>
      <c r="Y126" s="3"/>
      <c r="Z126" s="3"/>
      <c r="AA126" s="3"/>
    </row>
    <row r="127" spans="1:27" x14ac:dyDescent="0.25">
      <c r="A127" s="10" t="s">
        <v>51</v>
      </c>
      <c r="B127" s="1" t="s">
        <v>67</v>
      </c>
      <c r="H127" s="3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26"/>
      <c r="U127" s="3"/>
      <c r="V127" s="3"/>
      <c r="W127" s="3"/>
      <c r="X127" s="3"/>
      <c r="Y127" s="3"/>
      <c r="Z127" s="3"/>
      <c r="AA127" s="3"/>
    </row>
    <row r="128" spans="1:27" x14ac:dyDescent="0.25">
      <c r="A128" s="10" t="s">
        <v>68</v>
      </c>
      <c r="B128" s="1" t="s">
        <v>69</v>
      </c>
      <c r="H128" s="3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159"/>
      <c r="U128" s="3"/>
      <c r="V128" s="3"/>
      <c r="W128" s="159"/>
      <c r="X128" s="3"/>
      <c r="Y128" s="3"/>
      <c r="Z128" s="3"/>
      <c r="AA128" s="159"/>
    </row>
    <row r="129" spans="1:27" x14ac:dyDescent="0.25">
      <c r="A129" s="10"/>
      <c r="B129" s="1"/>
      <c r="D129" s="11">
        <v>401</v>
      </c>
      <c r="E129" s="11" t="s">
        <v>98</v>
      </c>
      <c r="F129" t="s">
        <v>258</v>
      </c>
      <c r="H129" s="13">
        <v>135222.35696202519</v>
      </c>
      <c r="I129" s="13">
        <v>165217.39130434784</v>
      </c>
      <c r="J129" s="13">
        <v>139130.4347826087</v>
      </c>
      <c r="K129" s="13">
        <v>173913.04347826086</v>
      </c>
      <c r="L129" s="156">
        <v>169565.21739130435</v>
      </c>
      <c r="M129" s="13">
        <v>196117.82765217399</v>
      </c>
      <c r="N129" s="13">
        <v>300000</v>
      </c>
      <c r="O129" s="13">
        <v>344412.85951844789</v>
      </c>
      <c r="P129" s="13">
        <v>252173.91304347827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10"/>
      <c r="B130" s="1"/>
      <c r="D130" s="11">
        <v>301</v>
      </c>
      <c r="E130" s="11" t="s">
        <v>98</v>
      </c>
      <c r="F130" t="s">
        <v>8</v>
      </c>
      <c r="H130" s="13">
        <v>1680542</v>
      </c>
      <c r="I130" s="13">
        <v>1680645</v>
      </c>
      <c r="J130" s="13">
        <v>1609601</v>
      </c>
      <c r="K130" s="13">
        <v>1662848</v>
      </c>
      <c r="L130" s="156">
        <v>1487400</v>
      </c>
      <c r="M130" s="13">
        <v>1528367</v>
      </c>
      <c r="N130" s="13">
        <v>1486142</v>
      </c>
      <c r="O130" s="13">
        <v>1406875</v>
      </c>
      <c r="P130" s="13">
        <v>1340615</v>
      </c>
      <c r="Q130" s="13">
        <v>1360124</v>
      </c>
      <c r="R130" s="13">
        <v>1340290</v>
      </c>
      <c r="S130" s="13">
        <v>1226061</v>
      </c>
      <c r="T130" s="13">
        <v>1238377</v>
      </c>
      <c r="U130" s="13">
        <v>1176531</v>
      </c>
      <c r="V130" s="13">
        <v>1171639</v>
      </c>
      <c r="W130" s="13">
        <v>1247712</v>
      </c>
      <c r="X130" s="13">
        <v>1457510</v>
      </c>
      <c r="Y130" s="13">
        <v>1300000</v>
      </c>
      <c r="Z130" s="13">
        <v>1285000</v>
      </c>
      <c r="AA130" s="13">
        <v>1782000</v>
      </c>
    </row>
    <row r="131" spans="1:27" x14ac:dyDescent="0.25">
      <c r="A131" s="10"/>
      <c r="B131" s="1"/>
      <c r="D131" s="11">
        <v>208</v>
      </c>
      <c r="E131" s="11" t="s">
        <v>98</v>
      </c>
      <c r="F131" t="s">
        <v>255</v>
      </c>
      <c r="H131" s="13">
        <v>118059.78739999997</v>
      </c>
      <c r="I131" s="13">
        <v>178082.19178082192</v>
      </c>
      <c r="J131" s="13">
        <v>181735.15981735161</v>
      </c>
      <c r="K131" s="13">
        <v>188193.88299178079</v>
      </c>
      <c r="L131" s="156">
        <v>266389.04109589045</v>
      </c>
      <c r="M131" s="13">
        <v>130593.60730593608</v>
      </c>
      <c r="N131" s="13">
        <v>186046.1601967857</v>
      </c>
      <c r="O131" s="13">
        <v>135753.45367426382</v>
      </c>
      <c r="P131" s="13">
        <v>105936.07305936073</v>
      </c>
      <c r="Q131" s="13">
        <v>16109.589041095891</v>
      </c>
      <c r="R131" s="13">
        <v>25775.34246575342</v>
      </c>
      <c r="S131" s="13">
        <v>21479.452054794521</v>
      </c>
      <c r="T131" s="13">
        <v>16109.589041095891</v>
      </c>
      <c r="U131" s="13">
        <v>10739.726027397261</v>
      </c>
      <c r="V131" s="13">
        <v>10739.726027397261</v>
      </c>
      <c r="W131" s="13">
        <v>21479.452054794521</v>
      </c>
      <c r="X131" s="13">
        <v>26849.31506849315</v>
      </c>
      <c r="Y131" s="13">
        <v>41347.945205479446</v>
      </c>
      <c r="Z131" s="13">
        <v>39736.986301369863</v>
      </c>
      <c r="AA131" s="13">
        <v>42958.904109589042</v>
      </c>
    </row>
    <row r="132" spans="1:27" x14ac:dyDescent="0.25">
      <c r="A132" s="10"/>
      <c r="B132" s="1"/>
      <c r="D132" s="11">
        <v>206</v>
      </c>
      <c r="E132" s="11" t="s">
        <v>98</v>
      </c>
      <c r="F132" t="s">
        <v>249</v>
      </c>
      <c r="H132" s="13">
        <v>77341.26556306961</v>
      </c>
      <c r="I132" s="13">
        <v>61466.921568627447</v>
      </c>
      <c r="J132" s="13">
        <v>63484.896307207579</v>
      </c>
      <c r="K132" s="13">
        <v>73553.313725490196</v>
      </c>
      <c r="L132" s="156">
        <v>71593.23529411765</v>
      </c>
      <c r="M132" s="13">
        <v>70768.602670050066</v>
      </c>
      <c r="N132" s="13">
        <v>67770.666666666672</v>
      </c>
      <c r="O132" s="13">
        <v>68501.393232383314</v>
      </c>
      <c r="P132" s="13">
        <v>66325.588235294126</v>
      </c>
      <c r="Q132" s="13">
        <v>70258.294117647063</v>
      </c>
      <c r="R132" s="13">
        <v>76784.705882352937</v>
      </c>
      <c r="S132" s="13">
        <v>85317.117647058825</v>
      </c>
      <c r="T132" s="13">
        <v>68540.014117647064</v>
      </c>
      <c r="U132" s="13">
        <v>85466.717647058831</v>
      </c>
      <c r="V132" s="13">
        <v>153717.0588235294</v>
      </c>
      <c r="W132" s="13">
        <v>136683.82352941178</v>
      </c>
      <c r="X132" s="13">
        <v>128231.17647058824</v>
      </c>
      <c r="Y132" s="13">
        <v>262364.70588235289</v>
      </c>
      <c r="Z132" s="13">
        <v>367037.64705882355</v>
      </c>
      <c r="AA132" s="13">
        <v>341483.5294117647</v>
      </c>
    </row>
    <row r="133" spans="1:27" x14ac:dyDescent="0.25">
      <c r="A133" s="10"/>
      <c r="B133" s="1"/>
      <c r="D133" s="11">
        <v>207</v>
      </c>
      <c r="E133" s="11" t="s">
        <v>98</v>
      </c>
      <c r="F133" t="s">
        <v>250</v>
      </c>
      <c r="H133" s="13">
        <v>18679.274847540975</v>
      </c>
      <c r="I133" s="13">
        <v>113265.30612244898</v>
      </c>
      <c r="J133" s="13">
        <v>212244.89795918367</v>
      </c>
      <c r="K133" s="13">
        <v>38265.306122448979</v>
      </c>
      <c r="L133" s="156">
        <v>22448.979591836734</v>
      </c>
      <c r="M133" s="13">
        <v>23469.387755102041</v>
      </c>
      <c r="N133" s="13">
        <v>35714.285714285717</v>
      </c>
      <c r="O133" s="13">
        <v>22389.273454545462</v>
      </c>
      <c r="P133" s="13">
        <v>33075</v>
      </c>
      <c r="Q133" s="13">
        <v>29295</v>
      </c>
      <c r="R133" s="13">
        <v>35910</v>
      </c>
      <c r="S133" s="13">
        <v>66150</v>
      </c>
      <c r="T133" s="13">
        <v>56700</v>
      </c>
      <c r="U133" s="13">
        <v>56700</v>
      </c>
      <c r="V133" s="13">
        <v>9450.0000000000018</v>
      </c>
      <c r="W133" s="13">
        <v>9450.0000000000018</v>
      </c>
      <c r="X133" s="13">
        <v>9450.0000000000018</v>
      </c>
      <c r="Y133" s="13">
        <v>9450.0000000000018</v>
      </c>
      <c r="Z133" s="13">
        <v>58590</v>
      </c>
      <c r="AA133" s="13">
        <v>47250</v>
      </c>
    </row>
    <row r="134" spans="1:27" x14ac:dyDescent="0.25">
      <c r="A134" s="10" t="s">
        <v>70</v>
      </c>
      <c r="B134" s="1" t="s">
        <v>3</v>
      </c>
      <c r="H134" s="12"/>
      <c r="I134" s="12"/>
      <c r="J134" s="12"/>
      <c r="K134" s="12"/>
      <c r="L134" s="158"/>
      <c r="M134" s="12"/>
      <c r="N134" s="12"/>
      <c r="O134" s="12"/>
      <c r="P134" s="12"/>
      <c r="Q134" s="12"/>
      <c r="R134" s="12"/>
      <c r="S134" s="12"/>
      <c r="T134" s="155"/>
      <c r="U134" s="12"/>
      <c r="V134" s="12"/>
      <c r="W134" s="155"/>
      <c r="X134" s="12"/>
      <c r="Y134" s="12"/>
      <c r="Z134" s="12"/>
      <c r="AA134" s="155"/>
    </row>
    <row r="135" spans="1:27" x14ac:dyDescent="0.25">
      <c r="A135" s="10"/>
      <c r="B135" s="1"/>
      <c r="D135" s="11">
        <v>401</v>
      </c>
      <c r="E135" s="11" t="s">
        <v>98</v>
      </c>
      <c r="F135" t="s">
        <v>258</v>
      </c>
      <c r="H135" s="13">
        <v>288082.41265822761</v>
      </c>
      <c r="I135" s="13">
        <v>182608.69565217392</v>
      </c>
      <c r="J135" s="13">
        <v>152173.91304347827</v>
      </c>
      <c r="K135" s="13">
        <v>182608.69565217392</v>
      </c>
      <c r="L135" s="156">
        <v>173913.04347826086</v>
      </c>
      <c r="M135" s="13">
        <v>294176.74147826096</v>
      </c>
      <c r="N135" s="13">
        <v>447826.08695652173</v>
      </c>
      <c r="O135" s="13">
        <v>516619.28927767184</v>
      </c>
      <c r="P135" s="13">
        <v>386956.52173913043</v>
      </c>
      <c r="Q135" s="13">
        <v>715000</v>
      </c>
      <c r="R135" s="13">
        <v>950000</v>
      </c>
      <c r="S135" s="13">
        <v>895000</v>
      </c>
      <c r="T135" s="13">
        <v>791304.34782608692</v>
      </c>
      <c r="U135" s="13">
        <v>805000</v>
      </c>
      <c r="V135" s="13">
        <v>785000</v>
      </c>
      <c r="W135" s="13">
        <v>896000.00000000012</v>
      </c>
      <c r="X135" s="13">
        <v>1114000.0000000002</v>
      </c>
      <c r="Y135" s="13">
        <v>937000</v>
      </c>
      <c r="Z135" s="13">
        <v>525000</v>
      </c>
      <c r="AA135" s="13">
        <v>534782.60869565222</v>
      </c>
    </row>
    <row r="136" spans="1:27" x14ac:dyDescent="0.25">
      <c r="A136" s="10"/>
      <c r="B136" s="1"/>
      <c r="D136" s="11">
        <v>406</v>
      </c>
      <c r="E136" s="11" t="s">
        <v>98</v>
      </c>
      <c r="F136" t="s">
        <v>256</v>
      </c>
      <c r="H136" s="34"/>
      <c r="I136" s="34"/>
      <c r="J136" s="34"/>
      <c r="K136" s="34"/>
      <c r="L136" s="157"/>
      <c r="M136" s="13">
        <v>210440.49249373411</v>
      </c>
      <c r="N136" s="13">
        <v>203555.13736179873</v>
      </c>
      <c r="O136" s="13">
        <v>200769.50335512153</v>
      </c>
      <c r="P136" s="13">
        <v>185011.15069631097</v>
      </c>
      <c r="Q136" s="13">
        <v>195284.81819985664</v>
      </c>
      <c r="R136" s="13">
        <v>214636.32970753842</v>
      </c>
      <c r="S136" s="13">
        <v>196618.95543596116</v>
      </c>
      <c r="T136" s="13">
        <v>208187.52974365742</v>
      </c>
      <c r="U136" s="13">
        <v>224712.59284299237</v>
      </c>
      <c r="V136" s="13">
        <v>231961.38616050826</v>
      </c>
      <c r="W136" s="13">
        <v>235585.7828192662</v>
      </c>
      <c r="X136" s="3"/>
      <c r="Y136" s="3"/>
      <c r="Z136" s="3"/>
      <c r="AA136" s="3"/>
    </row>
    <row r="137" spans="1:27" x14ac:dyDescent="0.25">
      <c r="A137" s="10"/>
      <c r="B137" s="1"/>
      <c r="D137" s="11">
        <v>301</v>
      </c>
      <c r="E137" s="11" t="s">
        <v>98</v>
      </c>
      <c r="F137" t="s">
        <v>8</v>
      </c>
      <c r="H137" s="13">
        <v>10218176</v>
      </c>
      <c r="I137" s="13">
        <v>9062450</v>
      </c>
      <c r="J137" s="13">
        <v>9108516</v>
      </c>
      <c r="K137" s="13">
        <v>9579512</v>
      </c>
      <c r="L137" s="156">
        <v>7882900</v>
      </c>
      <c r="M137" s="13">
        <v>7891625</v>
      </c>
      <c r="N137" s="13">
        <v>7315359</v>
      </c>
      <c r="O137" s="13">
        <v>7229175</v>
      </c>
      <c r="P137" s="13">
        <v>6966265</v>
      </c>
      <c r="Q137" s="13">
        <v>6991389</v>
      </c>
      <c r="R137" s="13">
        <v>6809719</v>
      </c>
      <c r="S137" s="13">
        <v>6107585</v>
      </c>
      <c r="T137" s="13">
        <v>6031236</v>
      </c>
      <c r="U137" s="13">
        <v>6060870</v>
      </c>
      <c r="V137" s="13">
        <v>5996792</v>
      </c>
      <c r="W137" s="13">
        <v>5943981</v>
      </c>
      <c r="X137" s="13">
        <v>5922459</v>
      </c>
      <c r="Y137" s="13">
        <v>4855000</v>
      </c>
      <c r="Z137" s="13">
        <v>4739000</v>
      </c>
      <c r="AA137" s="13">
        <v>4346000</v>
      </c>
    </row>
    <row r="138" spans="1:27" x14ac:dyDescent="0.25">
      <c r="A138" s="10"/>
      <c r="B138" s="1"/>
      <c r="D138" s="11">
        <v>208</v>
      </c>
      <c r="E138" s="11" t="s">
        <v>98</v>
      </c>
      <c r="F138" t="s">
        <v>255</v>
      </c>
      <c r="H138" s="13">
        <v>707272.72439999995</v>
      </c>
      <c r="I138" s="13">
        <v>1067579.9086757991</v>
      </c>
      <c r="J138" s="13">
        <v>1090410.9589041097</v>
      </c>
      <c r="K138" s="13">
        <v>1129163.2979506848</v>
      </c>
      <c r="L138" s="156">
        <v>1598334.2465753425</v>
      </c>
      <c r="M138" s="13">
        <v>870319.63470319635</v>
      </c>
      <c r="N138" s="13">
        <v>1203505.6379403835</v>
      </c>
      <c r="O138" s="13">
        <v>889497.71689497714</v>
      </c>
      <c r="P138" s="13">
        <v>622904.10958904109</v>
      </c>
      <c r="Q138" s="13">
        <v>961205.47945205483</v>
      </c>
      <c r="R138" s="13">
        <v>939189.04109589045</v>
      </c>
      <c r="S138" s="13">
        <v>912876.71232876717</v>
      </c>
      <c r="T138" s="13">
        <v>869380.82191780827</v>
      </c>
      <c r="U138" s="13">
        <v>803868.49315068498</v>
      </c>
      <c r="V138" s="13">
        <v>828569.8630136986</v>
      </c>
      <c r="W138" s="13">
        <v>819441.09589041083</v>
      </c>
      <c r="X138" s="13">
        <v>801720.54794520536</v>
      </c>
      <c r="Y138" s="13">
        <v>807090.41095890396</v>
      </c>
      <c r="Z138" s="13">
        <v>886564.38356164366</v>
      </c>
      <c r="AA138" s="13">
        <v>912876.71232876717</v>
      </c>
    </row>
    <row r="139" spans="1:27" x14ac:dyDescent="0.25">
      <c r="A139" s="10"/>
      <c r="B139" s="1"/>
      <c r="D139" s="11">
        <v>210</v>
      </c>
      <c r="E139" s="11" t="s">
        <v>98</v>
      </c>
      <c r="F139" t="s">
        <v>252</v>
      </c>
      <c r="H139" s="13">
        <v>343718.72932038835</v>
      </c>
      <c r="I139" s="13">
        <v>353140.83249000937</v>
      </c>
      <c r="J139" s="13">
        <v>318446.60194174759</v>
      </c>
      <c r="K139" s="13">
        <v>311650.48543689318</v>
      </c>
      <c r="L139" s="156">
        <v>329126.21359223302</v>
      </c>
      <c r="M139" s="13">
        <v>139805.82524271845</v>
      </c>
      <c r="N139" s="13">
        <v>131067.96116504855</v>
      </c>
      <c r="O139" s="13">
        <v>100970.87378640777</v>
      </c>
      <c r="P139" s="13">
        <v>109882.71844660194</v>
      </c>
      <c r="Q139" s="13">
        <v>185023.10679611651</v>
      </c>
      <c r="R139" s="13">
        <v>237864.07766990291</v>
      </c>
      <c r="S139" s="13">
        <v>245620.19417475731</v>
      </c>
      <c r="T139" s="13">
        <v>270666.99029126216</v>
      </c>
      <c r="U139" s="13">
        <v>348543.68932038837</v>
      </c>
      <c r="V139" s="13">
        <v>326416.31067961163</v>
      </c>
      <c r="W139" s="13">
        <v>345631.06796116504</v>
      </c>
      <c r="X139" s="13">
        <v>374893.98058252427</v>
      </c>
      <c r="Y139" s="13">
        <v>403980.58252427186</v>
      </c>
      <c r="Z139" s="13">
        <v>409636.31067961169</v>
      </c>
      <c r="AA139" s="13">
        <v>478313.00970873795</v>
      </c>
    </row>
    <row r="140" spans="1:27" x14ac:dyDescent="0.25">
      <c r="A140" s="10"/>
      <c r="B140" s="1"/>
      <c r="D140" s="11">
        <v>402</v>
      </c>
      <c r="E140" s="11" t="s">
        <v>98</v>
      </c>
      <c r="F140" t="s">
        <v>260</v>
      </c>
      <c r="H140" s="13">
        <v>380467.00000000006</v>
      </c>
      <c r="I140" s="13">
        <v>366153.84615384613</v>
      </c>
      <c r="J140" s="13">
        <v>366299</v>
      </c>
      <c r="K140" s="13">
        <v>343076.92307692306</v>
      </c>
      <c r="L140" s="156">
        <v>360000</v>
      </c>
      <c r="M140" s="13">
        <v>526128</v>
      </c>
      <c r="N140" s="13">
        <v>335384.61538461538</v>
      </c>
      <c r="O140" s="13">
        <v>316973</v>
      </c>
      <c r="P140" s="13">
        <v>306000</v>
      </c>
      <c r="Q140" s="13">
        <v>301000</v>
      </c>
      <c r="R140" s="13">
        <v>350000</v>
      </c>
      <c r="S140" s="13">
        <v>238000</v>
      </c>
      <c r="T140" s="13">
        <v>224000</v>
      </c>
      <c r="U140" s="13">
        <v>309000</v>
      </c>
      <c r="V140" s="13">
        <v>307000</v>
      </c>
      <c r="W140" s="13">
        <v>258000</v>
      </c>
      <c r="X140" s="13">
        <v>347000</v>
      </c>
      <c r="Y140" s="13">
        <v>235000</v>
      </c>
      <c r="Z140" s="13">
        <v>166000</v>
      </c>
      <c r="AA140" s="13">
        <v>134000</v>
      </c>
    </row>
    <row r="141" spans="1:27" x14ac:dyDescent="0.25">
      <c r="A141" s="10" t="s">
        <v>71</v>
      </c>
      <c r="B141" s="1" t="s">
        <v>72</v>
      </c>
      <c r="H141" s="3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159"/>
      <c r="U141" s="3"/>
      <c r="V141" s="3"/>
      <c r="W141" s="159"/>
      <c r="X141" s="3"/>
      <c r="Y141" s="3"/>
      <c r="Z141" s="3"/>
      <c r="AA141" s="159"/>
    </row>
    <row r="142" spans="1:27" x14ac:dyDescent="0.25">
      <c r="A142" s="10"/>
      <c r="B142" s="1"/>
      <c r="D142" s="11">
        <v>208</v>
      </c>
      <c r="E142" s="11" t="s">
        <v>98</v>
      </c>
      <c r="F142" t="s">
        <v>255</v>
      </c>
      <c r="H142" s="13">
        <v>47151.514959999993</v>
      </c>
      <c r="I142" s="13">
        <v>73972.602739726033</v>
      </c>
      <c r="J142" s="13">
        <v>75799.086757990866</v>
      </c>
      <c r="K142" s="13">
        <v>78414.117913242007</v>
      </c>
      <c r="L142" s="156">
        <v>110995.43378995436</v>
      </c>
      <c r="M142" s="13">
        <v>54794.520547945205</v>
      </c>
      <c r="N142" s="13">
        <v>52968.036529680365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10"/>
      <c r="B143" s="1"/>
      <c r="D143" s="11">
        <v>209</v>
      </c>
      <c r="E143" s="11" t="s">
        <v>98</v>
      </c>
      <c r="F143" t="s">
        <v>268</v>
      </c>
      <c r="H143" s="13">
        <v>28146.758810464282</v>
      </c>
      <c r="I143" s="13">
        <v>26355.536310380634</v>
      </c>
      <c r="J143" s="13">
        <v>25223.348087876642</v>
      </c>
      <c r="K143" s="13">
        <v>33816.425120772947</v>
      </c>
      <c r="L143" s="156">
        <v>46632.850241545893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D144" s="11">
        <v>206</v>
      </c>
      <c r="E144" s="11" t="s">
        <v>98</v>
      </c>
      <c r="F144" t="s">
        <v>249</v>
      </c>
      <c r="H144" s="13">
        <v>2683148.9699737909</v>
      </c>
      <c r="I144" s="13">
        <v>3750980.3921568627</v>
      </c>
      <c r="J144" s="13">
        <v>3932972.7677114448</v>
      </c>
      <c r="K144" s="13">
        <v>2781573.411764706</v>
      </c>
      <c r="L144" s="156">
        <v>3112294.4509803918</v>
      </c>
      <c r="M144" s="13">
        <v>4355232.1406823993</v>
      </c>
      <c r="N144" s="13">
        <v>4173562.411764706</v>
      </c>
      <c r="O144" s="13">
        <v>2655690.8825086709</v>
      </c>
      <c r="P144" s="13">
        <v>2264558.8235294116</v>
      </c>
      <c r="Q144" s="13">
        <v>2251764.7058823528</v>
      </c>
      <c r="R144" s="13">
        <v>2465000</v>
      </c>
      <c r="S144" s="13">
        <v>2430882.3529411764</v>
      </c>
      <c r="T144" s="13">
        <v>2550294.1176470588</v>
      </c>
      <c r="U144" s="13">
        <v>2601470.588235294</v>
      </c>
      <c r="V144" s="13">
        <v>2456470.588235294</v>
      </c>
      <c r="W144" s="13">
        <v>2313176.4705882352</v>
      </c>
      <c r="X144" s="13">
        <v>1961764.705882353</v>
      </c>
      <c r="Y144" s="13">
        <v>1791176.4705882352</v>
      </c>
      <c r="Z144" s="13">
        <v>1603529.4117647058</v>
      </c>
      <c r="AA144" s="13">
        <v>1450000</v>
      </c>
    </row>
    <row r="145" spans="1:27" x14ac:dyDescent="0.25">
      <c r="D145" s="11">
        <v>207</v>
      </c>
      <c r="E145" s="11" t="s">
        <v>98</v>
      </c>
      <c r="F145" t="s">
        <v>250</v>
      </c>
      <c r="H145" s="13">
        <v>36024.31577740045</v>
      </c>
      <c r="I145" s="13">
        <v>210204.08163265305</v>
      </c>
      <c r="J145" s="13">
        <v>283673.46938775509</v>
      </c>
      <c r="K145" s="13">
        <v>48367.34693877551</v>
      </c>
      <c r="L145" s="156">
        <v>27761.224489795917</v>
      </c>
      <c r="M145" s="13">
        <v>31632.65306122449</v>
      </c>
      <c r="N145" s="13">
        <v>157142.85714285713</v>
      </c>
      <c r="O145" s="3"/>
      <c r="P145" s="3"/>
      <c r="Q145" s="3"/>
      <c r="R145" s="3"/>
      <c r="S145" s="3"/>
      <c r="T145" s="26"/>
      <c r="U145" s="3"/>
      <c r="V145" s="3"/>
      <c r="W145" s="3"/>
      <c r="X145" s="3"/>
      <c r="Y145" s="3"/>
      <c r="Z145" s="3"/>
      <c r="AA145" s="3"/>
    </row>
    <row r="146" spans="1:27" x14ac:dyDescent="0.25">
      <c r="A146" s="10" t="s">
        <v>52</v>
      </c>
      <c r="B146" s="1" t="s">
        <v>73</v>
      </c>
      <c r="H146" s="3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26"/>
      <c r="U146" s="3"/>
      <c r="V146" s="3"/>
      <c r="W146" s="3"/>
      <c r="X146" s="3"/>
      <c r="Y146" s="3"/>
      <c r="Z146" s="3"/>
      <c r="AA146" s="3"/>
    </row>
    <row r="147" spans="1:27" x14ac:dyDescent="0.25">
      <c r="A147" s="10" t="s">
        <v>149</v>
      </c>
      <c r="B147" s="1" t="s">
        <v>101</v>
      </c>
      <c r="H147" s="3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26"/>
      <c r="U147" s="3"/>
      <c r="V147" s="3"/>
      <c r="W147" s="3"/>
      <c r="X147" s="3"/>
      <c r="Y147" s="3"/>
      <c r="Z147" s="3"/>
      <c r="AA147" s="3"/>
    </row>
    <row r="148" spans="1:27" x14ac:dyDescent="0.25">
      <c r="A148" s="10" t="s">
        <v>150</v>
      </c>
      <c r="B148" s="1" t="s">
        <v>151</v>
      </c>
      <c r="H148" s="3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26"/>
      <c r="U148" s="3"/>
      <c r="V148" s="3"/>
      <c r="W148" s="3"/>
      <c r="X148" s="3"/>
      <c r="Y148" s="3"/>
      <c r="Z148" s="3"/>
      <c r="AA148" s="3"/>
    </row>
    <row r="149" spans="1:27" x14ac:dyDescent="0.25">
      <c r="A149" s="10" t="s">
        <v>74</v>
      </c>
      <c r="B149" s="1" t="s">
        <v>75</v>
      </c>
      <c r="H149" s="3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26"/>
      <c r="U149" s="3"/>
      <c r="V149" s="3"/>
      <c r="W149" s="3"/>
      <c r="X149" s="3"/>
      <c r="Y149" s="3"/>
      <c r="Z149" s="3"/>
      <c r="AA149" s="3"/>
    </row>
    <row r="150" spans="1:27" x14ac:dyDescent="0.25">
      <c r="A150" s="20" t="s">
        <v>89</v>
      </c>
      <c r="B150" s="21" t="s">
        <v>99</v>
      </c>
      <c r="C150" s="2"/>
      <c r="D150" s="27"/>
      <c r="E150" s="2"/>
      <c r="F150" s="2"/>
      <c r="G150" s="2"/>
      <c r="H150" s="3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26"/>
      <c r="U150" s="3"/>
      <c r="V150" s="3"/>
      <c r="W150" s="3"/>
      <c r="X150" s="3"/>
      <c r="Y150" s="3"/>
      <c r="Z150" s="3"/>
      <c r="AA150" s="3"/>
    </row>
    <row r="151" spans="1:27" x14ac:dyDescent="0.25">
      <c r="A151" s="20" t="s">
        <v>90</v>
      </c>
      <c r="B151" s="21" t="s">
        <v>91</v>
      </c>
      <c r="C151" s="2"/>
      <c r="D151" s="27"/>
      <c r="E151" s="2"/>
      <c r="F151" s="2"/>
      <c r="G151" s="2"/>
      <c r="H151" s="3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26"/>
      <c r="U151" s="3"/>
      <c r="V151" s="3"/>
      <c r="W151" s="3"/>
      <c r="X151" s="3"/>
      <c r="Y151" s="3"/>
      <c r="Z151" s="3"/>
      <c r="AA151" s="3"/>
    </row>
    <row r="152" spans="1:27" x14ac:dyDescent="0.25">
      <c r="A152" s="20" t="s">
        <v>92</v>
      </c>
      <c r="B152" s="21" t="s">
        <v>93</v>
      </c>
      <c r="C152" s="2"/>
      <c r="D152" s="27"/>
      <c r="E152" s="2"/>
      <c r="F152" s="2"/>
      <c r="G152" s="2"/>
      <c r="H152" s="3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26"/>
      <c r="U152" s="3"/>
      <c r="V152" s="3"/>
      <c r="W152" s="3"/>
      <c r="X152" s="3"/>
      <c r="Y152" s="3"/>
      <c r="Z152" s="3"/>
      <c r="AA152" s="3"/>
    </row>
    <row r="153" spans="1:27" x14ac:dyDescent="0.25">
      <c r="A153" s="2"/>
      <c r="B153" s="21" t="s">
        <v>94</v>
      </c>
      <c r="C153" s="2"/>
      <c r="D153" s="27"/>
      <c r="E153" s="2"/>
      <c r="F153" s="2"/>
      <c r="G153" s="2"/>
      <c r="H153" s="3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2"/>
      <c r="B154" s="21"/>
      <c r="C154" s="2"/>
      <c r="D154" s="27"/>
      <c r="E154" s="2" t="s">
        <v>17</v>
      </c>
      <c r="F154" s="2" t="s">
        <v>261</v>
      </c>
      <c r="H154" s="13">
        <v>197422.01531554901</v>
      </c>
      <c r="I154" s="13">
        <v>180322.60946917912</v>
      </c>
      <c r="J154" s="13">
        <v>354760.23214838683</v>
      </c>
      <c r="K154" s="13">
        <v>244249.84315458345</v>
      </c>
      <c r="L154" s="156">
        <v>295333</v>
      </c>
      <c r="M154" s="13">
        <v>312494</v>
      </c>
      <c r="N154" s="13">
        <v>197823</v>
      </c>
      <c r="O154" s="13">
        <v>178264</v>
      </c>
      <c r="P154" s="13">
        <v>193452</v>
      </c>
      <c r="Q154" s="13">
        <v>471609</v>
      </c>
      <c r="R154" s="13">
        <v>557812</v>
      </c>
      <c r="S154" s="13">
        <v>617052</v>
      </c>
      <c r="T154" s="13">
        <v>545976</v>
      </c>
      <c r="U154" s="13">
        <v>569739</v>
      </c>
      <c r="V154" s="13">
        <v>527055</v>
      </c>
      <c r="W154" s="13">
        <v>674472</v>
      </c>
      <c r="X154" s="13">
        <v>341400</v>
      </c>
      <c r="Y154" s="13">
        <v>421000</v>
      </c>
      <c r="Z154" s="13">
        <v>567304</v>
      </c>
      <c r="AA154" s="13">
        <v>546958</v>
      </c>
    </row>
    <row r="155" spans="1:27" x14ac:dyDescent="0.25">
      <c r="A155" s="2"/>
      <c r="B155" s="21" t="s">
        <v>95</v>
      </c>
      <c r="C155" s="2"/>
      <c r="D155" s="27"/>
      <c r="E155" s="2"/>
      <c r="F155" s="2"/>
      <c r="H155" s="3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26"/>
      <c r="U155" s="3"/>
      <c r="V155" s="3"/>
      <c r="W155" s="3"/>
      <c r="X155" s="3"/>
      <c r="Y155" s="3"/>
      <c r="Z155" s="3"/>
      <c r="AA155" s="3"/>
    </row>
    <row r="156" spans="1:27" x14ac:dyDescent="0.25">
      <c r="A156" s="2"/>
      <c r="B156" s="21"/>
      <c r="C156" s="2"/>
      <c r="D156" s="27"/>
      <c r="E156" s="2" t="s">
        <v>17</v>
      </c>
      <c r="F156" s="2" t="s">
        <v>261</v>
      </c>
      <c r="H156" s="13">
        <v>197422.01531554901</v>
      </c>
      <c r="I156" s="13">
        <v>180322.60946917912</v>
      </c>
      <c r="J156" s="13">
        <v>354760.23214838683</v>
      </c>
      <c r="K156" s="13">
        <v>244249.84315458345</v>
      </c>
      <c r="L156" s="156">
        <v>295333</v>
      </c>
      <c r="M156" s="13">
        <v>312494</v>
      </c>
      <c r="N156" s="13">
        <v>197823</v>
      </c>
      <c r="O156" s="13">
        <v>178264</v>
      </c>
      <c r="P156" s="13">
        <v>193452</v>
      </c>
      <c r="Q156" s="13">
        <v>471609</v>
      </c>
      <c r="R156" s="13">
        <v>557812</v>
      </c>
      <c r="S156" s="13">
        <v>617052</v>
      </c>
      <c r="T156" s="13">
        <v>545976</v>
      </c>
      <c r="U156" s="13">
        <v>569739</v>
      </c>
      <c r="V156" s="13">
        <v>527055</v>
      </c>
      <c r="W156" s="13">
        <v>674472</v>
      </c>
      <c r="X156" s="13">
        <v>341400</v>
      </c>
      <c r="Y156" s="13">
        <v>421000</v>
      </c>
      <c r="Z156" s="13">
        <v>567304</v>
      </c>
      <c r="AA156" s="13">
        <v>546958</v>
      </c>
    </row>
    <row r="157" spans="1:27" x14ac:dyDescent="0.25">
      <c r="A157" s="20" t="s">
        <v>96</v>
      </c>
      <c r="B157" s="21" t="s">
        <v>97</v>
      </c>
      <c r="C157" s="2"/>
      <c r="D157" s="27"/>
      <c r="E157" s="2"/>
      <c r="F157" s="2"/>
      <c r="H157" s="3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26"/>
      <c r="U157" s="3"/>
      <c r="V157" s="3"/>
      <c r="W157" s="3"/>
      <c r="X157" s="3"/>
      <c r="Y157" s="3"/>
      <c r="Z157" s="3"/>
      <c r="AA157" s="3"/>
    </row>
    <row r="158" spans="1:27" x14ac:dyDescent="0.25">
      <c r="A158" s="2"/>
      <c r="B158" s="21" t="s">
        <v>94</v>
      </c>
      <c r="C158" s="2"/>
      <c r="D158" s="27"/>
      <c r="E158" s="2"/>
      <c r="F158" s="2"/>
      <c r="H158" s="3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26"/>
      <c r="U158" s="3"/>
      <c r="V158" s="3"/>
      <c r="W158" s="3"/>
      <c r="X158" s="3"/>
      <c r="Y158" s="3"/>
      <c r="Z158" s="3"/>
      <c r="AA158" s="3"/>
    </row>
    <row r="159" spans="1:27" x14ac:dyDescent="0.25">
      <c r="A159" s="2"/>
      <c r="B159" s="21"/>
      <c r="C159" s="2"/>
      <c r="D159" s="27"/>
      <c r="E159" s="2" t="s">
        <v>17</v>
      </c>
      <c r="F159" s="2" t="s">
        <v>261</v>
      </c>
      <c r="H159" s="13">
        <v>0</v>
      </c>
      <c r="I159" s="13">
        <v>0</v>
      </c>
      <c r="J159" s="13">
        <v>0</v>
      </c>
      <c r="K159" s="13">
        <v>0</v>
      </c>
      <c r="L159" s="156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</row>
    <row r="160" spans="1:27" x14ac:dyDescent="0.25">
      <c r="A160" s="2"/>
      <c r="B160" s="21" t="s">
        <v>95</v>
      </c>
      <c r="C160" s="2"/>
      <c r="D160" s="27"/>
      <c r="E160" s="2"/>
      <c r="F160" s="2"/>
      <c r="H160" s="3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26"/>
      <c r="U160" s="3"/>
      <c r="V160" s="3"/>
      <c r="W160" s="3"/>
      <c r="X160" s="3"/>
      <c r="Y160" s="3"/>
      <c r="Z160" s="3"/>
      <c r="AA160" s="3"/>
    </row>
    <row r="161" spans="1:27" x14ac:dyDescent="0.25">
      <c r="A161" s="2"/>
      <c r="B161" s="21"/>
      <c r="C161" s="2"/>
      <c r="D161" s="27"/>
      <c r="E161" s="2" t="s">
        <v>17</v>
      </c>
      <c r="F161" s="2" t="s">
        <v>261</v>
      </c>
      <c r="H161" s="13">
        <v>0</v>
      </c>
      <c r="I161" s="13">
        <v>0</v>
      </c>
      <c r="J161" s="13">
        <v>0</v>
      </c>
      <c r="K161" s="13">
        <v>0</v>
      </c>
      <c r="L161" s="156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</row>
    <row r="162" spans="1:27" s="2" customFormat="1" x14ac:dyDescent="0.25">
      <c r="A162" s="20" t="s">
        <v>148</v>
      </c>
      <c r="B162" s="21" t="s">
        <v>153</v>
      </c>
      <c r="D162" s="27"/>
      <c r="H162" s="3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4"/>
      <c r="U162" s="3"/>
      <c r="V162" s="3"/>
      <c r="W162" s="34"/>
      <c r="X162" s="3"/>
      <c r="Y162" s="3"/>
      <c r="Z162" s="3"/>
      <c r="AA162" s="34"/>
    </row>
    <row r="163" spans="1:27" s="2" customFormat="1" x14ac:dyDescent="0.25">
      <c r="A163" s="20" t="s">
        <v>152</v>
      </c>
      <c r="B163" s="21" t="s">
        <v>73</v>
      </c>
      <c r="D163" s="27"/>
      <c r="H163" s="3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4"/>
      <c r="U163" s="3"/>
      <c r="V163" s="3"/>
      <c r="W163" s="34"/>
      <c r="X163" s="3"/>
      <c r="Y163" s="3"/>
      <c r="Z163" s="3"/>
      <c r="AA163" s="34"/>
    </row>
    <row r="164" spans="1:27" s="2" customFormat="1" x14ac:dyDescent="0.25">
      <c r="A164" s="20" t="s">
        <v>114</v>
      </c>
      <c r="B164" s="21" t="s">
        <v>117</v>
      </c>
      <c r="C164" s="21"/>
      <c r="D164" s="27"/>
      <c r="H164" s="3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4"/>
      <c r="U164" s="3"/>
      <c r="V164" s="3"/>
      <c r="W164" s="3"/>
      <c r="X164" s="3"/>
      <c r="Y164" s="3"/>
      <c r="Z164" s="3"/>
      <c r="AA164" s="3"/>
    </row>
    <row r="165" spans="1:27" s="2" customFormat="1" x14ac:dyDescent="0.25">
      <c r="A165" s="20" t="s">
        <v>115</v>
      </c>
      <c r="B165" s="21" t="s">
        <v>116</v>
      </c>
      <c r="C165" s="21"/>
      <c r="D165" s="27"/>
      <c r="H165" s="3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4"/>
      <c r="U165" s="3"/>
      <c r="V165" s="3"/>
      <c r="W165" s="3"/>
      <c r="X165" s="3"/>
      <c r="Y165" s="3"/>
      <c r="Z165" s="3"/>
      <c r="AA165" s="3"/>
    </row>
    <row r="166" spans="1:27" s="2" customFormat="1" x14ac:dyDescent="0.25">
      <c r="A166" s="20" t="s">
        <v>118</v>
      </c>
      <c r="B166" s="21" t="s">
        <v>124</v>
      </c>
      <c r="D166" s="27"/>
      <c r="H166" s="3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4"/>
      <c r="U166" s="3"/>
      <c r="V166" s="3"/>
      <c r="W166" s="3"/>
      <c r="X166" s="3"/>
      <c r="Y166" s="3"/>
      <c r="Z166" s="3"/>
      <c r="AA166" s="3"/>
    </row>
    <row r="167" spans="1:27" s="2" customFormat="1" x14ac:dyDescent="0.25">
      <c r="A167" s="20"/>
      <c r="B167" s="21"/>
      <c r="D167" s="27"/>
      <c r="E167" s="2" t="s">
        <v>157</v>
      </c>
      <c r="H167" s="161">
        <v>46</v>
      </c>
      <c r="I167" s="161">
        <v>38</v>
      </c>
      <c r="J167" s="161">
        <v>34</v>
      </c>
      <c r="K167" s="161">
        <v>27</v>
      </c>
      <c r="L167" s="162">
        <v>34</v>
      </c>
      <c r="M167" s="161">
        <v>45</v>
      </c>
      <c r="N167" s="161">
        <v>31</v>
      </c>
      <c r="O167" s="161">
        <v>17</v>
      </c>
      <c r="P167" s="161">
        <v>19</v>
      </c>
      <c r="Q167" s="161">
        <v>7</v>
      </c>
      <c r="R167" s="161">
        <v>23</v>
      </c>
      <c r="S167" s="161">
        <v>23</v>
      </c>
      <c r="T167" s="13">
        <v>39</v>
      </c>
      <c r="U167" s="161">
        <v>55</v>
      </c>
      <c r="V167" s="161">
        <v>60</v>
      </c>
      <c r="W167" s="161">
        <v>44</v>
      </c>
      <c r="X167" s="161">
        <v>41</v>
      </c>
      <c r="Y167" s="161">
        <v>28</v>
      </c>
      <c r="Z167" s="161">
        <v>39</v>
      </c>
      <c r="AA167" s="161">
        <v>24</v>
      </c>
    </row>
    <row r="168" spans="1:27" s="2" customFormat="1" x14ac:dyDescent="0.25">
      <c r="A168" s="20"/>
      <c r="B168" s="21"/>
      <c r="D168" s="27"/>
      <c r="E168" s="2" t="s">
        <v>158</v>
      </c>
      <c r="H168" s="161">
        <v>55</v>
      </c>
      <c r="I168" s="161">
        <v>112</v>
      </c>
      <c r="J168" s="161">
        <v>85</v>
      </c>
      <c r="K168" s="161">
        <v>90</v>
      </c>
      <c r="L168" s="162">
        <v>80</v>
      </c>
      <c r="M168" s="161">
        <v>78</v>
      </c>
      <c r="N168" s="161">
        <v>92</v>
      </c>
      <c r="O168" s="161">
        <v>106</v>
      </c>
      <c r="P168" s="161">
        <v>97</v>
      </c>
      <c r="Q168" s="161">
        <v>80</v>
      </c>
      <c r="R168" s="161">
        <v>70</v>
      </c>
      <c r="S168" s="161">
        <v>64</v>
      </c>
      <c r="T168" s="13">
        <v>84</v>
      </c>
      <c r="U168" s="161">
        <v>104</v>
      </c>
      <c r="V168" s="161">
        <v>116</v>
      </c>
      <c r="W168" s="161">
        <v>105</v>
      </c>
      <c r="X168" s="161">
        <v>93</v>
      </c>
      <c r="Y168" s="161">
        <v>109</v>
      </c>
      <c r="Z168" s="161">
        <v>55</v>
      </c>
      <c r="AA168" s="161">
        <v>68</v>
      </c>
    </row>
    <row r="169" spans="1:27" s="2" customFormat="1" x14ac:dyDescent="0.25">
      <c r="A169" s="20"/>
      <c r="B169" s="21"/>
      <c r="D169" s="27"/>
      <c r="E169" s="2" t="s">
        <v>159</v>
      </c>
      <c r="H169" s="161">
        <v>917</v>
      </c>
      <c r="I169" s="161">
        <v>830</v>
      </c>
      <c r="J169" s="161">
        <v>1015</v>
      </c>
      <c r="K169" s="161">
        <v>1054</v>
      </c>
      <c r="L169" s="162">
        <v>933</v>
      </c>
      <c r="M169" s="161">
        <v>868</v>
      </c>
      <c r="N169" s="161">
        <v>919</v>
      </c>
      <c r="O169" s="161">
        <v>970</v>
      </c>
      <c r="P169" s="161">
        <v>818</v>
      </c>
      <c r="Q169" s="161">
        <v>1146</v>
      </c>
      <c r="R169" s="161">
        <v>679</v>
      </c>
      <c r="S169" s="161">
        <v>661</v>
      </c>
      <c r="T169" s="13">
        <v>950.5</v>
      </c>
      <c r="U169" s="161">
        <v>1240</v>
      </c>
      <c r="V169" s="161">
        <v>1328</v>
      </c>
      <c r="W169" s="161">
        <v>826</v>
      </c>
      <c r="X169" s="161">
        <v>518</v>
      </c>
      <c r="Y169" s="161">
        <v>517</v>
      </c>
      <c r="Z169" s="161">
        <v>742</v>
      </c>
      <c r="AA169" s="161">
        <v>616</v>
      </c>
    </row>
    <row r="170" spans="1:27" s="2" customFormat="1" x14ac:dyDescent="0.25">
      <c r="A170" s="20" t="s">
        <v>119</v>
      </c>
      <c r="B170" s="21" t="s">
        <v>125</v>
      </c>
      <c r="D170" s="27"/>
      <c r="H170" s="3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4"/>
      <c r="U170" s="3"/>
      <c r="V170" s="3"/>
      <c r="W170" s="3"/>
      <c r="X170" s="3"/>
      <c r="Y170" s="3"/>
      <c r="Z170" s="3"/>
      <c r="AA170" s="3"/>
    </row>
    <row r="171" spans="1:27" s="2" customFormat="1" x14ac:dyDescent="0.25">
      <c r="A171" s="20"/>
      <c r="B171" s="21"/>
      <c r="D171" s="27"/>
      <c r="E171" s="2" t="s">
        <v>17</v>
      </c>
      <c r="F171" s="2" t="s">
        <v>127</v>
      </c>
      <c r="H171" s="9">
        <v>33326278.649000004</v>
      </c>
      <c r="I171" s="9">
        <v>36239941.231899999</v>
      </c>
      <c r="J171" s="9">
        <v>40713603.597002864</v>
      </c>
      <c r="K171" s="9">
        <v>37904567.360299997</v>
      </c>
      <c r="L171" s="152">
        <v>38346333.773999989</v>
      </c>
      <c r="M171" s="9">
        <v>38572465.227310002</v>
      </c>
      <c r="N171" s="9">
        <v>40432947.508160003</v>
      </c>
      <c r="O171" s="9">
        <v>42957054.382981196</v>
      </c>
      <c r="P171" s="9">
        <v>43960581.743000001</v>
      </c>
      <c r="Q171" s="9">
        <v>44616992.778999999</v>
      </c>
      <c r="R171" s="9">
        <v>46507825</v>
      </c>
      <c r="S171" s="9">
        <v>49147655</v>
      </c>
      <c r="T171" s="13">
        <v>48402958</v>
      </c>
      <c r="U171" s="9">
        <v>45569607.640000001</v>
      </c>
      <c r="V171" s="9">
        <v>41739330.219999999</v>
      </c>
      <c r="W171" s="9">
        <v>38732471</v>
      </c>
      <c r="X171" s="9">
        <v>34447295</v>
      </c>
      <c r="Y171" s="9">
        <v>32246102</v>
      </c>
      <c r="Z171" s="9">
        <v>28620520</v>
      </c>
      <c r="AA171" s="13">
        <v>28004036</v>
      </c>
    </row>
    <row r="172" spans="1:27" s="2" customFormat="1" x14ac:dyDescent="0.25">
      <c r="A172" s="20" t="s">
        <v>120</v>
      </c>
      <c r="B172" s="21" t="s">
        <v>18</v>
      </c>
      <c r="D172" s="27"/>
      <c r="H172" s="3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4"/>
      <c r="U172" s="3"/>
      <c r="V172" s="3"/>
      <c r="W172" s="3"/>
      <c r="X172" s="3"/>
      <c r="Y172" s="3"/>
      <c r="Z172" s="3"/>
      <c r="AA172" s="3"/>
    </row>
    <row r="173" spans="1:27" s="2" customFormat="1" x14ac:dyDescent="0.25">
      <c r="A173" s="20"/>
      <c r="B173" s="21"/>
      <c r="D173" s="27"/>
      <c r="E173" s="2" t="s">
        <v>144</v>
      </c>
      <c r="F173" s="2" t="s">
        <v>127</v>
      </c>
      <c r="H173" s="9">
        <v>16590999.3861</v>
      </c>
      <c r="I173" s="9">
        <v>18021746.561900001</v>
      </c>
      <c r="J173" s="9">
        <v>18329673.243702862</v>
      </c>
      <c r="K173" s="9">
        <v>17965729.719999999</v>
      </c>
      <c r="L173" s="152">
        <v>19038876.234999996</v>
      </c>
      <c r="M173" s="9">
        <v>18844316.183519997</v>
      </c>
      <c r="N173" s="9">
        <v>19093717.389950003</v>
      </c>
      <c r="O173" s="9">
        <v>19205111.883999996</v>
      </c>
      <c r="P173" s="9">
        <v>19008832.760000002</v>
      </c>
      <c r="Q173" s="9">
        <v>19230333.721999999</v>
      </c>
      <c r="R173" s="9">
        <v>18815453.595434669</v>
      </c>
      <c r="S173" s="9">
        <v>20902722.574695423</v>
      </c>
      <c r="T173" s="13">
        <v>20810639.000000004</v>
      </c>
      <c r="U173" s="9">
        <v>20167117.840679727</v>
      </c>
      <c r="V173" s="9">
        <v>18003479.663561583</v>
      </c>
      <c r="W173" s="9">
        <v>15344412.396164045</v>
      </c>
      <c r="X173" s="9">
        <v>14170869</v>
      </c>
      <c r="Y173" s="9">
        <v>13923995</v>
      </c>
      <c r="Z173" s="9">
        <v>13457039</v>
      </c>
      <c r="AA173" s="13">
        <v>13525190</v>
      </c>
    </row>
    <row r="174" spans="1:27" s="2" customFormat="1" x14ac:dyDescent="0.25">
      <c r="A174" s="20"/>
      <c r="B174" s="21"/>
      <c r="D174" s="27"/>
      <c r="E174" s="2" t="s">
        <v>145</v>
      </c>
      <c r="F174" s="2" t="s">
        <v>127</v>
      </c>
      <c r="H174" s="9">
        <v>16735279.262900002</v>
      </c>
      <c r="I174" s="9">
        <v>18218194.670000006</v>
      </c>
      <c r="J174" s="9">
        <v>22383930.353300001</v>
      </c>
      <c r="K174" s="9">
        <v>19938837.640299998</v>
      </c>
      <c r="L174" s="152">
        <v>19307457.538999993</v>
      </c>
      <c r="M174" s="9">
        <v>19728149.043790005</v>
      </c>
      <c r="N174" s="9">
        <v>21339230.118209999</v>
      </c>
      <c r="O174" s="9">
        <v>23751942.498981193</v>
      </c>
      <c r="P174" s="9">
        <v>24951748.982999999</v>
      </c>
      <c r="Q174" s="9">
        <v>25386659.057</v>
      </c>
      <c r="R174" s="9">
        <v>27692371.404565327</v>
      </c>
      <c r="S174" s="9">
        <v>28244932.425304577</v>
      </c>
      <c r="T174" s="13">
        <v>27592319.000000004</v>
      </c>
      <c r="U174" s="9">
        <v>25402489.799320281</v>
      </c>
      <c r="V174" s="9">
        <v>23735850.556438416</v>
      </c>
      <c r="W174" s="9">
        <v>23388058.603835952</v>
      </c>
      <c r="X174" s="9">
        <v>20276426.000000004</v>
      </c>
      <c r="Y174" s="9">
        <v>18322107</v>
      </c>
      <c r="Z174" s="9">
        <v>15163481</v>
      </c>
      <c r="AA174" s="13">
        <v>14478846</v>
      </c>
    </row>
    <row r="175" spans="1:27" s="2" customFormat="1" x14ac:dyDescent="0.25">
      <c r="A175" s="20" t="s">
        <v>121</v>
      </c>
      <c r="B175" s="21" t="s">
        <v>161</v>
      </c>
      <c r="D175" s="27"/>
      <c r="H175" s="3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4"/>
      <c r="U175" s="3"/>
      <c r="V175" s="3"/>
      <c r="W175" s="3"/>
      <c r="X175" s="3"/>
      <c r="Y175" s="3"/>
      <c r="Z175" s="3"/>
      <c r="AA175" s="3"/>
    </row>
    <row r="176" spans="1:27" s="2" customFormat="1" x14ac:dyDescent="0.25">
      <c r="A176" s="20"/>
      <c r="B176" s="21" t="s">
        <v>154</v>
      </c>
      <c r="D176" s="27"/>
      <c r="H176" s="3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4"/>
      <c r="U176" s="3"/>
      <c r="V176" s="3"/>
      <c r="W176" s="3"/>
      <c r="X176" s="3"/>
      <c r="Y176" s="3"/>
      <c r="Z176" s="3"/>
      <c r="AA176" s="3"/>
    </row>
    <row r="177" spans="1:27" s="2" customFormat="1" x14ac:dyDescent="0.25">
      <c r="A177" s="20"/>
      <c r="B177" s="21"/>
      <c r="D177" s="27"/>
      <c r="E177" s="2" t="s">
        <v>128</v>
      </c>
      <c r="F177" s="2" t="s">
        <v>127</v>
      </c>
      <c r="H177" s="9">
        <v>29903705.581</v>
      </c>
      <c r="I177" s="9">
        <v>30436356.610715821</v>
      </c>
      <c r="J177" s="9">
        <v>33221683.063000001</v>
      </c>
      <c r="K177" s="9">
        <v>34518803.717</v>
      </c>
      <c r="L177" s="152">
        <v>32673409.115000002</v>
      </c>
      <c r="M177" s="9">
        <v>30996149.023000002</v>
      </c>
      <c r="N177" s="9">
        <v>31186340.532000002</v>
      </c>
      <c r="O177" s="9">
        <v>30282260.835000001</v>
      </c>
      <c r="P177" s="9">
        <v>29027716.859999999</v>
      </c>
      <c r="Q177" s="9">
        <v>30198193</v>
      </c>
      <c r="R177" s="9">
        <v>32045742</v>
      </c>
      <c r="S177" s="9">
        <v>31526710</v>
      </c>
      <c r="T177" s="13">
        <v>30311807</v>
      </c>
      <c r="U177" s="9">
        <v>27663141</v>
      </c>
      <c r="V177" s="9">
        <v>26331131</v>
      </c>
      <c r="W177" s="9">
        <v>27193837</v>
      </c>
      <c r="X177" s="9">
        <v>28390671</v>
      </c>
      <c r="Y177" s="9">
        <v>28385033</v>
      </c>
      <c r="Z177" s="9">
        <v>26453530</v>
      </c>
      <c r="AA177" s="13">
        <v>26477938</v>
      </c>
    </row>
    <row r="178" spans="1:27" s="2" customFormat="1" x14ac:dyDescent="0.25">
      <c r="A178" s="20"/>
      <c r="B178" s="21" t="s">
        <v>160</v>
      </c>
      <c r="D178" s="27"/>
      <c r="H178" s="3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4"/>
      <c r="U178" s="3"/>
      <c r="V178" s="3"/>
      <c r="W178" s="6"/>
      <c r="X178" s="3"/>
      <c r="Y178" s="3"/>
      <c r="Z178" s="3"/>
      <c r="AA178" s="34"/>
    </row>
    <row r="179" spans="1:27" s="2" customFormat="1" x14ac:dyDescent="0.25">
      <c r="A179" s="20"/>
      <c r="B179" s="21"/>
      <c r="D179" s="27"/>
      <c r="E179" s="2" t="s">
        <v>128</v>
      </c>
      <c r="F179" s="2" t="s">
        <v>127</v>
      </c>
      <c r="H179" s="9">
        <v>29903705.581</v>
      </c>
      <c r="I179" s="9">
        <v>30436356.610715821</v>
      </c>
      <c r="J179" s="9">
        <v>33221683.063000001</v>
      </c>
      <c r="K179" s="9">
        <v>34518803.717</v>
      </c>
      <c r="L179" s="152">
        <v>32673409.115000002</v>
      </c>
      <c r="M179" s="9">
        <v>30996149.023000002</v>
      </c>
      <c r="N179" s="9">
        <v>31186340.532000002</v>
      </c>
      <c r="O179" s="9">
        <v>30282260.835000001</v>
      </c>
      <c r="P179" s="9">
        <v>29027716.859999999</v>
      </c>
      <c r="Q179" s="9">
        <v>30198193</v>
      </c>
      <c r="R179" s="9">
        <v>32045742</v>
      </c>
      <c r="S179" s="9">
        <v>31526710</v>
      </c>
      <c r="T179" s="13">
        <v>30311807</v>
      </c>
      <c r="U179" s="9">
        <v>27663141</v>
      </c>
      <c r="V179" s="9">
        <v>26331131</v>
      </c>
      <c r="W179" s="9">
        <v>27193837</v>
      </c>
      <c r="X179" s="9">
        <v>28390671</v>
      </c>
      <c r="Y179" s="9">
        <v>28385033</v>
      </c>
      <c r="Z179" s="9">
        <v>26453530</v>
      </c>
      <c r="AA179" s="13">
        <v>26477938</v>
      </c>
    </row>
    <row r="180" spans="1:27" s="2" customFormat="1" x14ac:dyDescent="0.25">
      <c r="A180" s="20" t="s">
        <v>122</v>
      </c>
      <c r="B180" s="21" t="s">
        <v>126</v>
      </c>
      <c r="D180" s="27"/>
      <c r="H180" s="3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4"/>
      <c r="U180" s="3"/>
      <c r="V180" s="3"/>
      <c r="W180" s="3"/>
      <c r="X180" s="3"/>
      <c r="Y180" s="3"/>
      <c r="Z180" s="3"/>
      <c r="AA180" s="3"/>
    </row>
    <row r="181" spans="1:27" s="2" customFormat="1" x14ac:dyDescent="0.25">
      <c r="A181" s="20"/>
      <c r="B181" s="21"/>
      <c r="D181" s="27"/>
      <c r="E181" s="2" t="s">
        <v>98</v>
      </c>
      <c r="F181" t="s">
        <v>270</v>
      </c>
      <c r="H181" s="9">
        <v>8695781.2177856658</v>
      </c>
      <c r="I181" s="9">
        <v>8329148.9489923436</v>
      </c>
      <c r="J181" s="9">
        <v>7971914.9542971514</v>
      </c>
      <c r="K181" s="9">
        <v>6221280.5515174326</v>
      </c>
      <c r="L181" s="152">
        <v>4912787.1438430445</v>
      </c>
      <c r="M181" s="9">
        <v>4874015.3233901681</v>
      </c>
      <c r="N181" s="9">
        <v>4910719.0523365187</v>
      </c>
      <c r="O181" s="9">
        <v>3698363.7004318233</v>
      </c>
      <c r="P181" s="9">
        <v>4779842.9130106149</v>
      </c>
      <c r="Q181" s="9">
        <v>4740844.1946827052</v>
      </c>
      <c r="R181" s="9">
        <v>6352791.2189030219</v>
      </c>
      <c r="S181" s="9">
        <v>7139765.3554175301</v>
      </c>
      <c r="T181" s="13">
        <v>7247761.8061717432</v>
      </c>
      <c r="U181" s="9">
        <v>7478754.2147293687</v>
      </c>
      <c r="V181" s="9">
        <v>7412756.3837129064</v>
      </c>
      <c r="W181" s="9">
        <v>7386757.238160965</v>
      </c>
      <c r="X181" s="9">
        <v>7666748.036412633</v>
      </c>
      <c r="Y181" s="9">
        <v>7332759.0127838571</v>
      </c>
      <c r="Z181" s="9">
        <v>6747778.2378651956</v>
      </c>
      <c r="AA181" s="13">
        <v>6784777.0219198791</v>
      </c>
    </row>
    <row r="182" spans="1:27" s="2" customFormat="1" x14ac:dyDescent="0.25">
      <c r="A182" s="20"/>
      <c r="B182" s="21"/>
      <c r="D182" s="27"/>
      <c r="E182" s="2" t="s">
        <v>98</v>
      </c>
      <c r="F182" t="s">
        <v>162</v>
      </c>
      <c r="H182" s="9">
        <v>2195135.7057728115</v>
      </c>
      <c r="I182" s="9">
        <v>2760048.9793627709</v>
      </c>
      <c r="J182" s="9">
        <v>2819887.3419895745</v>
      </c>
      <c r="K182" s="9">
        <v>2920451.3189289384</v>
      </c>
      <c r="L182" s="152">
        <v>4133908.1486016507</v>
      </c>
      <c r="M182" s="9">
        <v>2994719.9814289589</v>
      </c>
      <c r="N182" s="9">
        <v>3885282.3006215831</v>
      </c>
      <c r="O182" s="9">
        <v>3035263.0290043619</v>
      </c>
      <c r="P182" s="9">
        <v>2392938.9556388874</v>
      </c>
      <c r="Q182" s="9">
        <v>2616933.2414989406</v>
      </c>
      <c r="R182" s="9">
        <v>2731930.3079003086</v>
      </c>
      <c r="S182" s="9">
        <v>2776929.1599704074</v>
      </c>
      <c r="T182" s="13">
        <v>2578934.2108619679</v>
      </c>
      <c r="U182" s="9">
        <v>2448937.5271039</v>
      </c>
      <c r="V182" s="9">
        <v>2405938.6240146928</v>
      </c>
      <c r="W182" s="9">
        <v>2283941.7361801993</v>
      </c>
      <c r="X182" s="9">
        <v>2272942.0167852864</v>
      </c>
      <c r="Y182" s="9">
        <v>2247942.6545241191</v>
      </c>
      <c r="Z182" s="9">
        <v>2116945.9962756047</v>
      </c>
      <c r="AA182" s="13">
        <v>2169944.6442692787</v>
      </c>
    </row>
    <row r="183" spans="1:27" s="2" customFormat="1" x14ac:dyDescent="0.25">
      <c r="A183" s="20" t="s">
        <v>123</v>
      </c>
      <c r="B183" s="21" t="s">
        <v>73</v>
      </c>
      <c r="D183" s="27"/>
      <c r="H183" s="3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4"/>
      <c r="U183" s="3"/>
      <c r="V183" s="3"/>
      <c r="W183" s="3"/>
      <c r="X183" s="3"/>
      <c r="Y183" s="3"/>
      <c r="Z183" s="3"/>
      <c r="AA183" s="3"/>
    </row>
    <row r="184" spans="1:27" s="2" customFormat="1" x14ac:dyDescent="0.25">
      <c r="A184" s="20" t="s">
        <v>129</v>
      </c>
      <c r="B184" s="28" t="s">
        <v>103</v>
      </c>
      <c r="C184" s="21"/>
      <c r="D184" s="27"/>
      <c r="E184" s="21"/>
      <c r="H184" s="3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4"/>
      <c r="U184" s="3"/>
      <c r="V184" s="3"/>
      <c r="W184" s="3"/>
      <c r="X184" s="3"/>
      <c r="Y184" s="3"/>
      <c r="Z184" s="3"/>
      <c r="AA184" s="3"/>
    </row>
    <row r="185" spans="1:27" s="2" customFormat="1" x14ac:dyDescent="0.25">
      <c r="A185" s="20" t="s">
        <v>130</v>
      </c>
      <c r="B185" s="28" t="s">
        <v>133</v>
      </c>
      <c r="C185" s="21"/>
      <c r="D185" s="27"/>
      <c r="E185" s="21"/>
      <c r="H185" s="3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4"/>
      <c r="U185" s="3"/>
      <c r="V185" s="3"/>
      <c r="W185" s="3"/>
      <c r="X185" s="3"/>
      <c r="Y185" s="3"/>
      <c r="Z185" s="3"/>
      <c r="AA185" s="3"/>
    </row>
    <row r="186" spans="1:27" s="2" customFormat="1" x14ac:dyDescent="0.25">
      <c r="A186" s="20"/>
      <c r="B186" s="21" t="s">
        <v>17</v>
      </c>
      <c r="D186" s="27"/>
      <c r="E186" s="21"/>
      <c r="H186" s="3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4"/>
      <c r="U186" s="3"/>
      <c r="V186" s="3"/>
      <c r="W186" s="3"/>
      <c r="X186" s="3"/>
      <c r="Y186" s="3"/>
      <c r="Z186" s="3"/>
      <c r="AA186" s="3"/>
    </row>
    <row r="187" spans="1:27" s="2" customFormat="1" x14ac:dyDescent="0.25">
      <c r="A187" s="20"/>
      <c r="B187" s="21"/>
      <c r="D187" s="27"/>
      <c r="E187" s="2" t="s">
        <v>17</v>
      </c>
      <c r="F187" t="s">
        <v>8</v>
      </c>
      <c r="H187" s="9">
        <v>45527553.616500005</v>
      </c>
      <c r="I187" s="9">
        <v>48419249.438500002</v>
      </c>
      <c r="J187" s="9">
        <v>50488255.291303039</v>
      </c>
      <c r="K187" s="9">
        <v>50971152.127280004</v>
      </c>
      <c r="L187" s="152">
        <v>51645774.15956834</v>
      </c>
      <c r="M187" s="9">
        <v>51278599.430285707</v>
      </c>
      <c r="N187" s="9">
        <v>52156988.485430002</v>
      </c>
      <c r="O187" s="9">
        <v>50947741.226017348</v>
      </c>
      <c r="P187" s="9">
        <v>46457099.954547003</v>
      </c>
      <c r="Q187" s="9">
        <v>48038567.389444217</v>
      </c>
      <c r="R187" s="9">
        <v>42425480</v>
      </c>
      <c r="S187" s="9">
        <v>38630229</v>
      </c>
      <c r="T187" s="13">
        <v>37073983</v>
      </c>
      <c r="U187" s="9">
        <v>34649729.479999997</v>
      </c>
      <c r="V187" s="9">
        <v>30441179.140000001</v>
      </c>
      <c r="W187" s="9">
        <v>27697397</v>
      </c>
      <c r="X187" s="9">
        <v>26662657</v>
      </c>
      <c r="Y187" s="9">
        <v>25042630</v>
      </c>
      <c r="Z187" s="9">
        <v>24642916</v>
      </c>
      <c r="AA187" s="13">
        <v>23017917</v>
      </c>
    </row>
    <row r="188" spans="1:27" s="2" customFormat="1" x14ac:dyDescent="0.25">
      <c r="A188" s="20"/>
      <c r="B188" s="21" t="s">
        <v>155</v>
      </c>
      <c r="D188" s="27"/>
      <c r="H188" s="3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4"/>
      <c r="U188" s="3"/>
      <c r="V188" s="3"/>
      <c r="W188" s="6"/>
      <c r="X188" s="3"/>
      <c r="Y188" s="3"/>
      <c r="Z188" s="3"/>
      <c r="AA188" s="34"/>
    </row>
    <row r="189" spans="1:27" s="2" customFormat="1" x14ac:dyDescent="0.25">
      <c r="A189" s="20"/>
      <c r="B189" s="21"/>
      <c r="D189" s="27"/>
      <c r="E189" s="2" t="s">
        <v>17</v>
      </c>
      <c r="F189" t="s">
        <v>8</v>
      </c>
      <c r="H189" s="9">
        <v>45527553.616500005</v>
      </c>
      <c r="I189" s="9">
        <v>48419249.438500002</v>
      </c>
      <c r="J189" s="9">
        <v>50488255.291303039</v>
      </c>
      <c r="K189" s="9">
        <v>50971152.127280004</v>
      </c>
      <c r="L189" s="152">
        <v>51645774.15956834</v>
      </c>
      <c r="M189" s="9">
        <v>51278599.430285707</v>
      </c>
      <c r="N189" s="9">
        <v>52156988.485430002</v>
      </c>
      <c r="O189" s="9">
        <v>50947741.226017348</v>
      </c>
      <c r="P189" s="9">
        <v>46457099.954547003</v>
      </c>
      <c r="Q189" s="9">
        <v>48038567.389444217</v>
      </c>
      <c r="R189" s="9">
        <v>42425480</v>
      </c>
      <c r="S189" s="9">
        <v>38630229</v>
      </c>
      <c r="T189" s="13">
        <v>37073983</v>
      </c>
      <c r="U189" s="9">
        <v>34649729.479999997</v>
      </c>
      <c r="V189" s="9">
        <v>30441179.140000001</v>
      </c>
      <c r="W189" s="9">
        <v>27697397</v>
      </c>
      <c r="X189" s="9">
        <v>26662657</v>
      </c>
      <c r="Y189" s="9">
        <v>25042630</v>
      </c>
      <c r="Z189" s="9">
        <v>24642916</v>
      </c>
      <c r="AA189" s="13">
        <v>23017917</v>
      </c>
    </row>
    <row r="190" spans="1:27" s="2" customFormat="1" x14ac:dyDescent="0.25">
      <c r="A190" s="20" t="s">
        <v>131</v>
      </c>
      <c r="B190" s="28" t="s">
        <v>134</v>
      </c>
      <c r="D190" s="27"/>
      <c r="H190" s="3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4"/>
      <c r="U190" s="3"/>
      <c r="V190" s="3"/>
      <c r="W190" s="3"/>
      <c r="X190" s="3"/>
      <c r="Y190" s="3"/>
      <c r="Z190" s="3"/>
      <c r="AA190" s="3"/>
    </row>
    <row r="191" spans="1:27" s="2" customFormat="1" x14ac:dyDescent="0.25">
      <c r="A191" s="20"/>
      <c r="B191" s="21" t="s">
        <v>163</v>
      </c>
      <c r="D191" s="27"/>
      <c r="H191" s="3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4"/>
      <c r="U191" s="3"/>
      <c r="V191" s="3"/>
      <c r="W191" s="3"/>
      <c r="X191" s="3"/>
      <c r="Y191" s="3"/>
      <c r="Z191" s="3"/>
      <c r="AA191" s="3"/>
    </row>
    <row r="192" spans="1:27" s="2" customFormat="1" x14ac:dyDescent="0.25">
      <c r="A192" s="20"/>
      <c r="B192" s="21"/>
      <c r="D192" s="27"/>
      <c r="E192" s="2" t="s">
        <v>164</v>
      </c>
      <c r="F192" t="s">
        <v>8</v>
      </c>
      <c r="H192" s="9">
        <v>42774715</v>
      </c>
      <c r="I192" s="9">
        <v>41377860</v>
      </c>
      <c r="J192" s="9">
        <v>41248650</v>
      </c>
      <c r="K192" s="9">
        <v>42381610</v>
      </c>
      <c r="L192" s="152">
        <v>42405335</v>
      </c>
      <c r="M192" s="9">
        <v>41188790</v>
      </c>
      <c r="N192" s="9">
        <v>39985385</v>
      </c>
      <c r="O192" s="9">
        <v>37804145</v>
      </c>
      <c r="P192" s="9">
        <v>33277780</v>
      </c>
      <c r="Q192" s="9">
        <v>33686945</v>
      </c>
      <c r="R192" s="9">
        <v>32653630</v>
      </c>
      <c r="S192" s="9">
        <v>29114225</v>
      </c>
      <c r="T192" s="13">
        <v>27507495</v>
      </c>
      <c r="U192" s="9">
        <v>26657045</v>
      </c>
      <c r="V192" s="9">
        <v>25189380</v>
      </c>
      <c r="W192" s="9">
        <v>23444680</v>
      </c>
      <c r="X192" s="9">
        <v>23458550</v>
      </c>
      <c r="Y192" s="9">
        <v>21333000</v>
      </c>
      <c r="Z192" s="9">
        <v>20794000</v>
      </c>
      <c r="AA192" s="13">
        <v>20794000</v>
      </c>
    </row>
    <row r="193" spans="1:27" s="2" customFormat="1" x14ac:dyDescent="0.25">
      <c r="A193" s="20"/>
      <c r="B193" s="21" t="s">
        <v>156</v>
      </c>
      <c r="D193" s="27"/>
      <c r="F193"/>
      <c r="H193" s="3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4"/>
      <c r="U193" s="3"/>
      <c r="V193" s="3"/>
      <c r="W193" s="6"/>
      <c r="X193" s="3"/>
      <c r="Y193" s="3"/>
      <c r="Z193" s="3"/>
      <c r="AA193" s="34"/>
    </row>
    <row r="194" spans="1:27" s="2" customFormat="1" x14ac:dyDescent="0.25">
      <c r="A194" s="20"/>
      <c r="B194" s="21"/>
      <c r="D194" s="27"/>
      <c r="E194" s="2" t="s">
        <v>165</v>
      </c>
      <c r="F194" t="s">
        <v>8</v>
      </c>
      <c r="H194" s="9">
        <v>32603625</v>
      </c>
      <c r="I194" s="9">
        <v>30370920</v>
      </c>
      <c r="J194" s="9">
        <v>31329045</v>
      </c>
      <c r="K194" s="9">
        <v>31878005</v>
      </c>
      <c r="L194" s="152">
        <v>29974165</v>
      </c>
      <c r="M194" s="9">
        <v>28962020</v>
      </c>
      <c r="N194" s="9">
        <v>27796940</v>
      </c>
      <c r="O194" s="9">
        <v>25577740</v>
      </c>
      <c r="P194" s="9">
        <v>22919810</v>
      </c>
      <c r="Q194" s="9">
        <v>23841070</v>
      </c>
      <c r="R194" s="9">
        <v>24676920</v>
      </c>
      <c r="S194" s="9">
        <v>23021645</v>
      </c>
      <c r="T194" s="13">
        <v>22973465</v>
      </c>
      <c r="U194" s="9">
        <v>22320845</v>
      </c>
      <c r="V194" s="9">
        <v>21402505</v>
      </c>
      <c r="W194" s="9">
        <v>20415180</v>
      </c>
      <c r="X194" s="9">
        <v>20339990</v>
      </c>
      <c r="Y194" s="9">
        <v>18155591.156659245</v>
      </c>
      <c r="Z194" s="9">
        <v>17696871.631349195</v>
      </c>
      <c r="AA194" s="13">
        <v>17696871.631349195</v>
      </c>
    </row>
    <row r="195" spans="1:27" x14ac:dyDescent="0.25">
      <c r="A195" s="20" t="s">
        <v>132</v>
      </c>
      <c r="B195" s="28" t="s">
        <v>135</v>
      </c>
      <c r="H195" s="3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26"/>
      <c r="U195" s="3"/>
      <c r="V195" s="3"/>
      <c r="W195" s="3"/>
      <c r="X195" s="3"/>
      <c r="Y195" s="3"/>
      <c r="Z195" s="3"/>
      <c r="AA195" s="3"/>
    </row>
    <row r="196" spans="1:27" x14ac:dyDescent="0.25">
      <c r="B196" s="1" t="s">
        <v>111</v>
      </c>
      <c r="H196" s="3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26"/>
      <c r="U196" s="3"/>
      <c r="V196" s="3"/>
      <c r="W196" s="3"/>
      <c r="X196" s="3"/>
      <c r="Y196" s="3"/>
      <c r="Z196" s="3"/>
      <c r="AA196" s="3"/>
    </row>
    <row r="197" spans="1:27" x14ac:dyDescent="0.25">
      <c r="A197" s="20"/>
      <c r="E197" s="2" t="s">
        <v>98</v>
      </c>
      <c r="F197" t="s">
        <v>8</v>
      </c>
      <c r="H197" s="9">
        <v>21960947</v>
      </c>
      <c r="I197" s="9">
        <v>21821714.379999999</v>
      </c>
      <c r="J197" s="9">
        <v>22184941.609999999</v>
      </c>
      <c r="K197" s="9">
        <v>21030666</v>
      </c>
      <c r="L197" s="152">
        <v>20534105</v>
      </c>
      <c r="M197" s="9">
        <v>19636167.132530119</v>
      </c>
      <c r="N197" s="9">
        <v>19129611.060240962</v>
      </c>
      <c r="O197" s="9">
        <v>17320325.899999999</v>
      </c>
      <c r="P197" s="9">
        <v>15131911</v>
      </c>
      <c r="Q197" s="9">
        <v>16307337</v>
      </c>
      <c r="R197" s="9">
        <v>18083428</v>
      </c>
      <c r="S197" s="9">
        <v>16157496</v>
      </c>
      <c r="T197" s="13">
        <v>15645589</v>
      </c>
      <c r="U197" s="9">
        <v>15870648</v>
      </c>
      <c r="V197" s="9">
        <v>14141866</v>
      </c>
      <c r="W197" s="9">
        <v>12755263.5</v>
      </c>
      <c r="X197" s="9">
        <v>11696874</v>
      </c>
      <c r="Y197" s="9">
        <v>11357535</v>
      </c>
      <c r="Z197" s="9">
        <v>11310114</v>
      </c>
      <c r="AA197" s="13">
        <v>10715710</v>
      </c>
    </row>
    <row r="198" spans="1:27" x14ac:dyDescent="0.25">
      <c r="A198" s="20"/>
      <c r="B198" s="1" t="s">
        <v>143</v>
      </c>
      <c r="H198" s="3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26"/>
      <c r="U198" s="3"/>
      <c r="V198" s="3"/>
      <c r="W198" s="3"/>
      <c r="X198" s="3"/>
      <c r="Y198" s="3"/>
      <c r="Z198" s="3"/>
      <c r="AA198" s="3"/>
    </row>
    <row r="199" spans="1:27" x14ac:dyDescent="0.25">
      <c r="A199" s="20"/>
      <c r="E199" s="2" t="s">
        <v>98</v>
      </c>
      <c r="F199" t="s">
        <v>8</v>
      </c>
      <c r="H199" s="9">
        <v>11898718</v>
      </c>
      <c r="I199" s="9">
        <v>10743095</v>
      </c>
      <c r="J199" s="9">
        <v>10718117</v>
      </c>
      <c r="K199" s="9">
        <v>11242360</v>
      </c>
      <c r="L199" s="152">
        <v>9370300</v>
      </c>
      <c r="M199" s="9">
        <v>9419992</v>
      </c>
      <c r="N199" s="9">
        <v>8801501</v>
      </c>
      <c r="O199" s="9">
        <v>8636050</v>
      </c>
      <c r="P199" s="9">
        <v>8306880</v>
      </c>
      <c r="Q199" s="9">
        <v>8351513</v>
      </c>
      <c r="R199" s="9">
        <v>8150009</v>
      </c>
      <c r="S199" s="9">
        <v>7333646</v>
      </c>
      <c r="T199" s="13">
        <v>7269613</v>
      </c>
      <c r="U199" s="9">
        <v>7237401</v>
      </c>
      <c r="V199" s="9">
        <v>7168431</v>
      </c>
      <c r="W199" s="9">
        <v>7191693</v>
      </c>
      <c r="X199" s="9">
        <v>7379969</v>
      </c>
      <c r="Y199" s="9">
        <v>6155000</v>
      </c>
      <c r="Z199" s="9">
        <v>6024000</v>
      </c>
      <c r="AA199" s="13">
        <v>6128000</v>
      </c>
    </row>
    <row r="200" spans="1:27" x14ac:dyDescent="0.25">
      <c r="A200" s="20" t="s">
        <v>136</v>
      </c>
      <c r="B200" s="28" t="s">
        <v>138</v>
      </c>
      <c r="H200" s="3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26"/>
      <c r="U200" s="3"/>
      <c r="V200" s="3"/>
      <c r="W200" s="3"/>
      <c r="X200" s="3"/>
      <c r="Y200" s="3"/>
      <c r="Z200" s="3"/>
      <c r="AA200" s="3"/>
    </row>
    <row r="201" spans="1:27" x14ac:dyDescent="0.25">
      <c r="A201" s="20" t="s">
        <v>137</v>
      </c>
      <c r="B201" s="28" t="s">
        <v>116</v>
      </c>
      <c r="H201" s="3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26"/>
      <c r="U201" s="3"/>
      <c r="V201" s="3"/>
      <c r="W201" s="3"/>
      <c r="X201" s="3"/>
      <c r="Y201" s="3"/>
      <c r="Z201" s="3"/>
      <c r="AA201" s="3"/>
    </row>
    <row r="202" spans="1:27" x14ac:dyDescent="0.25">
      <c r="A202" s="20"/>
      <c r="B202" s="28" t="s">
        <v>112</v>
      </c>
      <c r="H202" s="3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26"/>
      <c r="U202" s="3"/>
      <c r="V202" s="3"/>
      <c r="W202" s="3"/>
      <c r="X202" s="3"/>
      <c r="Y202" s="3"/>
      <c r="Z202" s="3"/>
      <c r="AA202" s="3"/>
    </row>
    <row r="203" spans="1:27" x14ac:dyDescent="0.25">
      <c r="A203" s="20"/>
      <c r="E203" s="2" t="s">
        <v>17</v>
      </c>
      <c r="F203" s="2" t="s">
        <v>127</v>
      </c>
      <c r="H203" s="9">
        <v>33326278.649000004</v>
      </c>
      <c r="I203" s="9">
        <v>36239941.231899999</v>
      </c>
      <c r="J203" s="9">
        <v>40713603.597002864</v>
      </c>
      <c r="K203" s="9">
        <v>37904567.360299997</v>
      </c>
      <c r="L203" s="152">
        <v>38346333.773999989</v>
      </c>
      <c r="M203" s="9">
        <v>38572465.227310002</v>
      </c>
      <c r="N203" s="9">
        <v>40432947.508160003</v>
      </c>
      <c r="O203" s="9">
        <v>42957054.382981196</v>
      </c>
      <c r="P203" s="9">
        <v>43960581.743000001</v>
      </c>
      <c r="Q203" s="9">
        <v>44616992.778999999</v>
      </c>
      <c r="R203" s="9">
        <v>46507825</v>
      </c>
      <c r="S203" s="9">
        <v>49147655</v>
      </c>
      <c r="T203" s="13">
        <v>48402958</v>
      </c>
      <c r="U203" s="9">
        <v>45569607.640000001</v>
      </c>
      <c r="V203" s="9">
        <v>41739330.219999999</v>
      </c>
      <c r="W203" s="9">
        <v>38732471</v>
      </c>
      <c r="X203" s="9">
        <v>34447295</v>
      </c>
      <c r="Y203" s="9">
        <v>32246102</v>
      </c>
      <c r="Z203" s="9">
        <v>28620520</v>
      </c>
      <c r="AA203" s="13">
        <v>28004036</v>
      </c>
    </row>
    <row r="204" spans="1:27" x14ac:dyDescent="0.25">
      <c r="A204" s="20"/>
      <c r="B204" s="28" t="s">
        <v>113</v>
      </c>
      <c r="H204" s="3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26"/>
      <c r="U204" s="3"/>
      <c r="V204" s="3"/>
      <c r="W204" s="3"/>
      <c r="X204" s="3"/>
      <c r="Y204" s="3"/>
      <c r="Z204" s="3"/>
      <c r="AA204" s="3"/>
    </row>
    <row r="205" spans="1:27" x14ac:dyDescent="0.25">
      <c r="A205" s="20"/>
      <c r="E205" s="2" t="s">
        <v>17</v>
      </c>
      <c r="F205" s="2" t="s">
        <v>127</v>
      </c>
      <c r="H205" s="9">
        <v>33326278.649000004</v>
      </c>
      <c r="I205" s="9">
        <v>36239941.231899999</v>
      </c>
      <c r="J205" s="9">
        <v>40713603.597002864</v>
      </c>
      <c r="K205" s="9">
        <v>37904567.360299997</v>
      </c>
      <c r="L205" s="152">
        <v>38346333.773999989</v>
      </c>
      <c r="M205" s="9">
        <v>38572465.227310002</v>
      </c>
      <c r="N205" s="9">
        <v>40432947.508160003</v>
      </c>
      <c r="O205" s="9">
        <v>42957054.382981196</v>
      </c>
      <c r="P205" s="9">
        <v>43960581.743000001</v>
      </c>
      <c r="Q205" s="9">
        <v>44616992.778999999</v>
      </c>
      <c r="R205" s="9">
        <v>46507825</v>
      </c>
      <c r="S205" s="9">
        <v>49147655</v>
      </c>
      <c r="T205" s="13">
        <v>48402958</v>
      </c>
      <c r="U205" s="9">
        <v>45569607.640000001</v>
      </c>
      <c r="V205" s="9">
        <v>41739330.219999999</v>
      </c>
      <c r="W205" s="9">
        <v>38732471</v>
      </c>
      <c r="X205" s="9">
        <v>34447295</v>
      </c>
      <c r="Y205" s="9">
        <v>32246102</v>
      </c>
      <c r="Z205" s="9">
        <v>28620520</v>
      </c>
      <c r="AA205" s="13">
        <v>28004036</v>
      </c>
    </row>
    <row r="206" spans="1:27" x14ac:dyDescent="0.25">
      <c r="A206" s="20" t="s">
        <v>139</v>
      </c>
      <c r="B206" s="28" t="s">
        <v>141</v>
      </c>
      <c r="H206" s="3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26"/>
      <c r="U206" s="3"/>
      <c r="V206" s="3"/>
      <c r="W206" s="3"/>
      <c r="X206" s="3"/>
      <c r="Y206" s="3"/>
      <c r="Z206" s="3"/>
      <c r="AA206" s="3"/>
    </row>
    <row r="207" spans="1:27" x14ac:dyDescent="0.25">
      <c r="A207" s="20"/>
      <c r="B207" s="28" t="s">
        <v>112</v>
      </c>
      <c r="H207" s="3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26"/>
      <c r="U207" s="3"/>
      <c r="V207" s="3"/>
      <c r="W207" s="3"/>
      <c r="X207" s="3"/>
      <c r="Y207" s="3"/>
      <c r="Z207" s="3"/>
      <c r="AA207" s="3"/>
    </row>
    <row r="208" spans="1:27" x14ac:dyDescent="0.25">
      <c r="A208" s="20"/>
      <c r="B208" s="28"/>
      <c r="C208" s="1" t="s">
        <v>155</v>
      </c>
      <c r="E208" s="1"/>
      <c r="H208" s="3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26"/>
      <c r="U208" s="3"/>
      <c r="V208" s="3"/>
      <c r="W208" s="3"/>
      <c r="X208" s="3"/>
      <c r="Y208" s="3"/>
      <c r="Z208" s="3"/>
      <c r="AA208" s="3"/>
    </row>
    <row r="209" spans="1:27" x14ac:dyDescent="0.25">
      <c r="A209" s="20"/>
      <c r="B209" s="28"/>
      <c r="E209" s="2" t="s">
        <v>17</v>
      </c>
      <c r="F209" t="s">
        <v>8</v>
      </c>
      <c r="H209" s="9">
        <v>45527553.616500005</v>
      </c>
      <c r="I209" s="9">
        <v>48419249.438500002</v>
      </c>
      <c r="J209" s="9">
        <v>50488255.291303039</v>
      </c>
      <c r="K209" s="9">
        <v>50971152.127280004</v>
      </c>
      <c r="L209" s="152">
        <v>51645774.15956834</v>
      </c>
      <c r="M209" s="9">
        <v>51278599.430285707</v>
      </c>
      <c r="N209" s="9">
        <v>52156988.485430002</v>
      </c>
      <c r="O209" s="9">
        <v>50947741.226017348</v>
      </c>
      <c r="P209" s="9">
        <v>46457099.954547003</v>
      </c>
      <c r="Q209" s="9">
        <v>48038567.389444217</v>
      </c>
      <c r="R209" s="9">
        <v>42425480</v>
      </c>
      <c r="S209" s="9">
        <v>38630229</v>
      </c>
      <c r="T209" s="13">
        <v>37073983</v>
      </c>
      <c r="U209" s="9">
        <v>34649729.479999997</v>
      </c>
      <c r="V209" s="9">
        <v>30441179.140000001</v>
      </c>
      <c r="W209" s="9">
        <v>27697397</v>
      </c>
      <c r="X209" s="9">
        <v>26662657</v>
      </c>
      <c r="Y209" s="9">
        <v>25042630</v>
      </c>
      <c r="Z209" s="9">
        <v>24642916</v>
      </c>
      <c r="AA209" s="13">
        <v>23017917</v>
      </c>
    </row>
    <row r="210" spans="1:27" x14ac:dyDescent="0.25">
      <c r="A210" s="20"/>
      <c r="B210" s="28"/>
      <c r="C210" s="1" t="s">
        <v>163</v>
      </c>
      <c r="H210" s="3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4"/>
      <c r="U210" s="3"/>
      <c r="V210" s="3"/>
      <c r="W210" s="6"/>
      <c r="X210" s="3"/>
      <c r="Y210" s="3"/>
      <c r="Z210" s="3"/>
      <c r="AA210" s="34"/>
    </row>
    <row r="211" spans="1:27" x14ac:dyDescent="0.25">
      <c r="A211" s="20"/>
      <c r="B211" s="28"/>
      <c r="E211" s="2" t="s">
        <v>164</v>
      </c>
      <c r="F211" t="s">
        <v>8</v>
      </c>
      <c r="H211" s="9">
        <v>42774715</v>
      </c>
      <c r="I211" s="9">
        <v>41377860</v>
      </c>
      <c r="J211" s="9">
        <v>41248650</v>
      </c>
      <c r="K211" s="9">
        <v>42381610</v>
      </c>
      <c r="L211" s="152">
        <v>42405335</v>
      </c>
      <c r="M211" s="9">
        <v>41188790</v>
      </c>
      <c r="N211" s="9">
        <v>39985385</v>
      </c>
      <c r="O211" s="9">
        <v>37804145</v>
      </c>
      <c r="P211" s="9">
        <v>33277780</v>
      </c>
      <c r="Q211" s="9">
        <v>33686945</v>
      </c>
      <c r="R211" s="9">
        <v>32653630</v>
      </c>
      <c r="S211" s="9">
        <v>29114225</v>
      </c>
      <c r="T211" s="13">
        <v>27507495</v>
      </c>
      <c r="U211" s="9">
        <v>26657045</v>
      </c>
      <c r="V211" s="9">
        <v>25189380</v>
      </c>
      <c r="W211" s="9">
        <v>23444680</v>
      </c>
      <c r="X211" s="9">
        <v>23458550</v>
      </c>
      <c r="Y211" s="9">
        <v>21333000</v>
      </c>
      <c r="Z211" s="9">
        <v>20794000</v>
      </c>
      <c r="AA211" s="13">
        <v>20794000</v>
      </c>
    </row>
    <row r="212" spans="1:27" x14ac:dyDescent="0.25">
      <c r="A212" s="20"/>
      <c r="B212" s="28" t="s">
        <v>113</v>
      </c>
      <c r="H212" s="3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26"/>
      <c r="U212" s="3"/>
      <c r="V212" s="3"/>
      <c r="W212" s="3"/>
      <c r="X212" s="3"/>
      <c r="Y212" s="3"/>
      <c r="Z212" s="3"/>
      <c r="AA212" s="3"/>
    </row>
    <row r="213" spans="1:27" x14ac:dyDescent="0.25">
      <c r="A213" s="20"/>
      <c r="B213" s="28"/>
      <c r="C213" s="1" t="s">
        <v>17</v>
      </c>
      <c r="H213" s="3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26"/>
      <c r="U213" s="3"/>
      <c r="V213" s="3"/>
      <c r="W213" s="3"/>
      <c r="X213" s="3"/>
      <c r="Y213" s="3"/>
      <c r="Z213" s="3"/>
      <c r="AA213" s="3"/>
    </row>
    <row r="214" spans="1:27" x14ac:dyDescent="0.25">
      <c r="A214" s="20"/>
      <c r="B214" s="28"/>
      <c r="E214" s="2" t="s">
        <v>17</v>
      </c>
      <c r="F214" t="s">
        <v>8</v>
      </c>
      <c r="H214" s="9">
        <v>45527553.616500005</v>
      </c>
      <c r="I214" s="9">
        <v>48419249.438500002</v>
      </c>
      <c r="J214" s="9">
        <v>50488255.291303039</v>
      </c>
      <c r="K214" s="9">
        <v>50971152.127280004</v>
      </c>
      <c r="L214" s="152">
        <v>51645774.15956834</v>
      </c>
      <c r="M214" s="9">
        <v>51278599.430285707</v>
      </c>
      <c r="N214" s="9">
        <v>52156988.485430002</v>
      </c>
      <c r="O214" s="9">
        <v>50947741.226017348</v>
      </c>
      <c r="P214" s="9">
        <v>46457099.954547003</v>
      </c>
      <c r="Q214" s="9">
        <v>48038567.389444217</v>
      </c>
      <c r="R214" s="9">
        <v>42425480</v>
      </c>
      <c r="S214" s="9">
        <v>38630229</v>
      </c>
      <c r="T214" s="13">
        <v>37073983</v>
      </c>
      <c r="U214" s="9">
        <v>34649729.479999997</v>
      </c>
      <c r="V214" s="9">
        <v>30441179.140000001</v>
      </c>
      <c r="W214" s="9">
        <v>27697397</v>
      </c>
      <c r="X214" s="9">
        <v>26662657</v>
      </c>
      <c r="Y214" s="9">
        <v>25042630</v>
      </c>
      <c r="Z214" s="9">
        <v>24642916</v>
      </c>
      <c r="AA214" s="13">
        <v>23017917</v>
      </c>
    </row>
    <row r="215" spans="1:27" x14ac:dyDescent="0.25">
      <c r="A215" s="20"/>
      <c r="B215" s="28"/>
      <c r="C215" s="1" t="s">
        <v>155</v>
      </c>
      <c r="H215" s="3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4"/>
      <c r="U215" s="3"/>
      <c r="V215" s="3"/>
      <c r="W215" s="6"/>
      <c r="X215" s="3"/>
      <c r="Y215" s="3"/>
      <c r="Z215" s="3"/>
      <c r="AA215" s="34"/>
    </row>
    <row r="216" spans="1:27" x14ac:dyDescent="0.25">
      <c r="A216" s="20"/>
      <c r="E216" s="2" t="s">
        <v>17</v>
      </c>
      <c r="F216" t="s">
        <v>8</v>
      </c>
      <c r="H216" s="9">
        <v>45527553.616500005</v>
      </c>
      <c r="I216" s="9">
        <v>48419249.438500002</v>
      </c>
      <c r="J216" s="9">
        <v>50488255.291303039</v>
      </c>
      <c r="K216" s="9">
        <v>50971152.127280004</v>
      </c>
      <c r="L216" s="9">
        <v>51645774.15956834</v>
      </c>
      <c r="M216" s="9">
        <v>51278599.430285707</v>
      </c>
      <c r="N216" s="9">
        <v>52156988.485430002</v>
      </c>
      <c r="O216" s="9">
        <v>50947741.226017348</v>
      </c>
      <c r="P216" s="9">
        <v>46457099.954547003</v>
      </c>
      <c r="Q216" s="9">
        <v>48038567.389444217</v>
      </c>
      <c r="R216" s="9">
        <v>42425480</v>
      </c>
      <c r="S216" s="9">
        <v>38630229</v>
      </c>
      <c r="T216" s="13">
        <v>37073983</v>
      </c>
      <c r="U216" s="9">
        <v>34649729.479999997</v>
      </c>
      <c r="V216" s="9">
        <v>30441179.140000001</v>
      </c>
      <c r="W216" s="9">
        <v>27697397</v>
      </c>
      <c r="X216" s="9">
        <v>26662657</v>
      </c>
      <c r="Y216" s="9">
        <v>25042630</v>
      </c>
      <c r="Z216" s="9">
        <v>24642916</v>
      </c>
      <c r="AA216" s="13">
        <v>23017917</v>
      </c>
    </row>
    <row r="217" spans="1:27" x14ac:dyDescent="0.25">
      <c r="A217" s="20" t="s">
        <v>140</v>
      </c>
      <c r="B217" s="28" t="s">
        <v>142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4"/>
      <c r="U217" s="3"/>
      <c r="V217" s="3"/>
      <c r="W217" s="3"/>
      <c r="X217" s="3"/>
      <c r="Y217" s="3"/>
      <c r="Z217" s="3"/>
      <c r="AA217" s="3"/>
    </row>
    <row r="220" spans="1:27" ht="18.600000000000001" customHeight="1" x14ac:dyDescent="0.25"/>
    <row r="221" spans="1:27" ht="30.6" customHeight="1" x14ac:dyDescent="0.25"/>
    <row r="222" spans="1:27" ht="29.1" customHeight="1" x14ac:dyDescent="0.25"/>
    <row r="223" spans="1:27" ht="15.6" customHeight="1" x14ac:dyDescent="0.25"/>
    <row r="224" spans="1:27" ht="15" customHeight="1" x14ac:dyDescent="0.25"/>
    <row r="225" ht="62.1" customHeight="1" x14ac:dyDescent="0.25"/>
    <row r="226" ht="17.4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7.45" customHeight="1" x14ac:dyDescent="0.25"/>
    <row r="234" ht="17.100000000000001" customHeight="1" x14ac:dyDescent="0.25"/>
    <row r="235" ht="15" customHeight="1" x14ac:dyDescent="0.25"/>
    <row r="236" ht="15" customHeight="1" x14ac:dyDescent="0.25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9"/>
  <sheetViews>
    <sheetView zoomScale="80" zoomScaleNormal="80" zoomScalePageLayoutView="80" workbookViewId="0">
      <pane ySplit="4" topLeftCell="A146" activePane="bottomLeft" state="frozen"/>
      <selection pane="bottomLeft" activeCell="K4" sqref="K4:N4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150845687.06365418</v>
      </c>
      <c r="I5" s="138">
        <f t="shared" si="0"/>
        <v>395896.15729548829</v>
      </c>
      <c r="J5" s="138">
        <f t="shared" si="0"/>
        <v>3138.3705974382597</v>
      </c>
      <c r="K5" s="138">
        <f t="shared" si="0"/>
        <v>777917.41862046334</v>
      </c>
      <c r="L5" s="138">
        <f t="shared" si="0"/>
        <v>1711426.3196895558</v>
      </c>
      <c r="M5" s="138">
        <f t="shared" si="0"/>
        <v>352528.77450589539</v>
      </c>
      <c r="N5" s="138">
        <f t="shared" si="0"/>
        <v>88348.725739720496</v>
      </c>
      <c r="O5" s="138">
        <f t="shared" si="0"/>
        <v>160132401.25206533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145581694.78801525</v>
      </c>
      <c r="I6" s="124">
        <f t="shared" si="1"/>
        <v>20328.66881531103</v>
      </c>
      <c r="J6" s="124">
        <f t="shared" si="1"/>
        <v>3106.3821537371909</v>
      </c>
      <c r="K6" s="124">
        <f t="shared" si="1"/>
        <v>776191.4720096204</v>
      </c>
      <c r="L6" s="124">
        <f t="shared" si="1"/>
        <v>1708664.8153921957</v>
      </c>
      <c r="M6" s="124">
        <f t="shared" si="1"/>
        <v>229490.91364214392</v>
      </c>
      <c r="N6" s="124">
        <f t="shared" si="1"/>
        <v>60733.682766120495</v>
      </c>
      <c r="O6" s="124">
        <f t="shared" si="1"/>
        <v>146971575.30079532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46483259.091791496</v>
      </c>
      <c r="I7" s="129">
        <f t="shared" si="2"/>
        <v>1021.0739865440618</v>
      </c>
      <c r="J7" s="129">
        <f t="shared" si="2"/>
        <v>165.47578917685942</v>
      </c>
      <c r="K7" s="129">
        <f t="shared" si="2"/>
        <v>125317.86400789823</v>
      </c>
      <c r="L7" s="129">
        <f t="shared" si="2"/>
        <v>14897.782575513249</v>
      </c>
      <c r="M7" s="129">
        <f t="shared" si="2"/>
        <v>3877.8816759718675</v>
      </c>
      <c r="N7" s="129">
        <f t="shared" si="2"/>
        <v>34889.449491445848</v>
      </c>
      <c r="O7" s="129">
        <f t="shared" si="2"/>
        <v>46555999.140153743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33331483.569153793</v>
      </c>
      <c r="I8" s="134">
        <f t="shared" si="3"/>
        <v>762.74353125599998</v>
      </c>
      <c r="J8" s="134">
        <f t="shared" si="3"/>
        <v>129.59966386560001</v>
      </c>
      <c r="K8" s="134">
        <f t="shared" si="3"/>
        <v>89986.177138400002</v>
      </c>
      <c r="L8" s="134">
        <f t="shared" si="3"/>
        <v>10447.926174119999</v>
      </c>
      <c r="M8" s="134">
        <f t="shared" si="3"/>
        <v>2745.5077782799999</v>
      </c>
      <c r="N8" s="134">
        <f t="shared" si="3"/>
        <v>30637.304680000001</v>
      </c>
      <c r="O8" s="134">
        <f t="shared" si="3"/>
        <v>33387677.079108499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33331483.569153793</v>
      </c>
      <c r="I9" s="93">
        <f t="shared" ref="I9:O9" si="4">I10+I11+I12+I13+I14</f>
        <v>762.74353125599998</v>
      </c>
      <c r="J9" s="93">
        <f t="shared" si="4"/>
        <v>129.59966386560001</v>
      </c>
      <c r="K9" s="93">
        <f t="shared" si="4"/>
        <v>89986.177138400002</v>
      </c>
      <c r="L9" s="93">
        <f t="shared" si="4"/>
        <v>10447.926174119999</v>
      </c>
      <c r="M9" s="93">
        <f t="shared" si="4"/>
        <v>2745.5077782799999</v>
      </c>
      <c r="N9" s="93">
        <f t="shared" si="4"/>
        <v>30637.304680000001</v>
      </c>
      <c r="O9" s="93">
        <f t="shared" si="4"/>
        <v>33387677.079108499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Actividad'!$K6*'FE Sectorial'!$H9*'FE Sectorial'!I9*'FE Sectorial'!$P9/1000</f>
        <v>1409096.3335679998</v>
      </c>
      <c r="I10" s="92">
        <f>'Datos Actividad'!$K6*'FE Sectorial'!$H9*'FE Sectorial'!J9/1000/1000</f>
        <v>15.199296</v>
      </c>
      <c r="J10" s="92">
        <f>'Datos Actividad'!$K6*'FE Sectorial'!$H9*'FE Sectorial'!K9/1000/1000</f>
        <v>22.798944000000002</v>
      </c>
      <c r="K10" s="92">
        <f>'Datos Actividad'!$K6*'FE Sectorial'!$H9*'FE Sectorial'!L9/1000/1000</f>
        <v>4559.7888000000003</v>
      </c>
      <c r="L10" s="92">
        <f>'Datos Actividad'!$K6*'FE Sectorial'!$H9*'FE Sectorial'!M9/1000/1000</f>
        <v>303.98591999999996</v>
      </c>
      <c r="M10" s="92">
        <f>'Datos Actividad'!$K6*'FE Sectorial'!$H9*'FE Sectorial'!N9/1000/1000</f>
        <v>75.996479999999991</v>
      </c>
      <c r="N10" s="92">
        <f>'Datos Actividad'!$K6*'FE Sectorial'!$H9*'FE Sectorial'!O9/1000/1000</f>
        <v>14551.263999999999</v>
      </c>
      <c r="O10" s="92">
        <f>IF(D10&lt;400,H10+I10*'Factores generales'!$M$41+J10*'Factores generales'!$N$41,I10*'Factores generales'!$M$41+J10*'Factores generales'!$N$41)</f>
        <v>1416483.1914239998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Actividad'!$K7*'FE Sectorial'!$H10*'FE Sectorial'!I10*'FE Sectorial'!$P10/1000</f>
        <v>2298016.8178109992</v>
      </c>
      <c r="I11" s="17">
        <f>'Datos Actividad'!$K7*'FE Sectorial'!$H10*'FE Sectorial'!J10/1000/1000</f>
        <v>93.976887000000005</v>
      </c>
      <c r="J11" s="17">
        <f>'Datos Actividad'!$K7*'FE Sectorial'!$H10*'FE Sectorial'!K10/1000/1000</f>
        <v>18.795377399999996</v>
      </c>
      <c r="K11" s="17">
        <f>'Datos Actividad'!$K7*'FE Sectorial'!$H10*'FE Sectorial'!L10/1000/1000</f>
        <v>6265.1257999999998</v>
      </c>
      <c r="L11" s="17">
        <f>'Datos Actividad'!$K7*'FE Sectorial'!$H10*'FE Sectorial'!M10/1000/1000</f>
        <v>469.884435</v>
      </c>
      <c r="M11" s="17">
        <f>'Datos Actividad'!$K7*'FE Sectorial'!$H10*'FE Sectorial'!N10/1000/1000</f>
        <v>156.62814499999999</v>
      </c>
      <c r="N11" s="17">
        <f>'Datos Actividad'!$K7*'FE Sectorial'!$H10*'FE Sectorial'!O10/1000/1000</f>
        <v>1136.46468</v>
      </c>
      <c r="O11" s="17">
        <f>IF(D11&lt;400,H11+I11*'Factores generales'!$M$41+J11*'Factores generales'!$N$41,I11*'Factores generales'!$M$41+J11*'Factores generales'!$N$41)</f>
        <v>2305816.8994319993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Actividad'!$K8*'FE Sectorial'!$H11*'FE Sectorial'!I11*'FE Sectorial'!$P11/1000</f>
        <v>5784907.3634088002</v>
      </c>
      <c r="I12" s="92">
        <f>'Datos Actividad'!$K8*'FE Sectorial'!$H11*'FE Sectorial'!J11/1000/1000</f>
        <v>226.48607639999997</v>
      </c>
      <c r="J12" s="92">
        <f>'Datos Actividad'!$K8*'FE Sectorial'!$H11*'FE Sectorial'!K11/1000/1000</f>
        <v>45.297215279999996</v>
      </c>
      <c r="K12" s="92">
        <f>'Datos Actividad'!$K8*'FE Sectorial'!$H11*'FE Sectorial'!L11/1000/1000</f>
        <v>15099.071759999999</v>
      </c>
      <c r="L12" s="92">
        <f>'Datos Actividad'!$K8*'FE Sectorial'!$H11*'FE Sectorial'!M11/1000/1000</f>
        <v>1132.430382</v>
      </c>
      <c r="M12" s="92">
        <f>'Datos Actividad'!$K8*'FE Sectorial'!$H11*'FE Sectorial'!N11/1000/1000</f>
        <v>377.47679399999998</v>
      </c>
      <c r="N12" s="92">
        <f>'Datos Actividad'!$K8*'FE Sectorial'!$H11*'FE Sectorial'!O11/1000/1000</f>
        <v>14949.575999999999</v>
      </c>
      <c r="O12" s="92">
        <f>IF(D12&lt;400,H12+I12*'Factores generales'!$M$41+J12*'Factores generales'!$N$41,I12*'Factores generales'!$M$41+J12*'Factores generales'!$N$41)</f>
        <v>5803705.7077500001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Actividad'!$K9*'FE Sectorial'!$H12*'FE Sectorial'!I12*'FE Sectorial'!$P12/1000</f>
        <v>23839463.054365993</v>
      </c>
      <c r="I13" s="17">
        <f>'Datos Actividad'!$K9*'FE Sectorial'!$H12*'FE Sectorial'!J12/1000/1000</f>
        <v>427.081271856</v>
      </c>
      <c r="J13" s="17">
        <f>'Datos Actividad'!$K9*'FE Sectorial'!$H12*'FE Sectorial'!K12/1000/1000</f>
        <v>42.708127185599999</v>
      </c>
      <c r="K13" s="17">
        <f>'Datos Actividad'!$K9*'FE Sectorial'!$H12*'FE Sectorial'!L12/1000/1000</f>
        <v>64062.190778400007</v>
      </c>
      <c r="L13" s="17">
        <f>'Datos Actividad'!$K9*'FE Sectorial'!$H12*'FE Sectorial'!M12/1000/1000</f>
        <v>8541.6254371199993</v>
      </c>
      <c r="M13" s="17">
        <f>'Datos Actividad'!$K9*'FE Sectorial'!$H12*'FE Sectorial'!N12/1000/1000</f>
        <v>2135.4063592799998</v>
      </c>
      <c r="N13" s="17">
        <f>'Datos Actividad'!$K9*'FE Sectorial'!$H12*'FE Sectorial'!O12/1000/1000</f>
        <v>0</v>
      </c>
      <c r="O13" s="17">
        <f>IF(D13&lt;400,H13+I13*'Factores generales'!$M$41+J13*'Factores generales'!$N$41,I13*'Factores generales'!$M$41+J13*'Factores generales'!$N$41)</f>
        <v>23861671.280502502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Actividad'!$K10*'FE Sectorial'!$H13*'FE Sectorial'!I13*'FE Sectorial'!$P13/1000</f>
        <v>0</v>
      </c>
      <c r="I14" s="147">
        <f>'Datos Actividad'!$K10*'FE Sectorial'!$H13*'FE Sectorial'!J13/1000/1000</f>
        <v>0</v>
      </c>
      <c r="J14" s="147">
        <f>'Datos Actividad'!$K10*'FE Sectorial'!$H13*'FE Sectorial'!K13/1000/1000</f>
        <v>0</v>
      </c>
      <c r="K14" s="147">
        <f>'Datos Actividad'!$K10*'FE Sectorial'!$H13*'FE Sectorial'!L13/1000/1000</f>
        <v>0</v>
      </c>
      <c r="L14" s="147">
        <f>'Datos Actividad'!$K10*'FE Sectorial'!$H13*'FE Sectorial'!M13/1000/1000</f>
        <v>0</v>
      </c>
      <c r="M14" s="147">
        <f>'Datos Actividad'!$K10*'FE Sectorial'!$H13*'FE Sectorial'!N13/1000/1000</f>
        <v>0</v>
      </c>
      <c r="N14" s="147">
        <f>'Datos Actividad'!$K10*'FE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4441940.441586053</v>
      </c>
      <c r="I17" s="134">
        <f t="shared" ref="I17:O17" si="5">SUM(I18:I25)</f>
        <v>99.301623792966751</v>
      </c>
      <c r="J17" s="134">
        <f t="shared" si="5"/>
        <v>18.429901492240411</v>
      </c>
      <c r="K17" s="134">
        <f t="shared" si="5"/>
        <v>11883.112849825235</v>
      </c>
      <c r="L17" s="134">
        <f t="shared" si="5"/>
        <v>1360.3679839177746</v>
      </c>
      <c r="M17" s="134">
        <f t="shared" si="5"/>
        <v>357.47156520004256</v>
      </c>
      <c r="N17" s="134">
        <f t="shared" si="5"/>
        <v>2614.7283151458482</v>
      </c>
      <c r="O17" s="134">
        <f t="shared" si="5"/>
        <v>4449739.0451483009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Actividad'!$K14*'FE Sectorial'!$H17*'FE Sectorial'!I17*'FE Sectorial'!P17/1000</f>
        <v>1443762.76236588</v>
      </c>
      <c r="I18" s="17">
        <f>'Datos Actividad'!$K14*'FE Sectorial'!$H17*'FE Sectorial'!J17/1000/1000</f>
        <v>25.864845839999997</v>
      </c>
      <c r="J18" s="17">
        <f>'Datos Actividad'!$K14*'FE Sectorial'!$H17*'FE Sectorial'!K17/1000/1000</f>
        <v>2.5864845840000004</v>
      </c>
      <c r="K18" s="17">
        <f>'Datos Actividad'!$K14*'FE Sectorial'!$H17*'FE Sectorial'!L17/1000/1000</f>
        <v>3879.7268760000002</v>
      </c>
      <c r="L18" s="17">
        <f>'Datos Actividad'!$K14*'FE Sectorial'!$H17*'FE Sectorial'!M17/1000/1000</f>
        <v>517.29691679999996</v>
      </c>
      <c r="M18" s="17">
        <f>'Datos Actividad'!$K14*'FE Sectorial'!$H17*'FE Sectorial'!N17/1000/1000</f>
        <v>129.32422919999999</v>
      </c>
      <c r="N18" s="17">
        <f>'Datos Actividad'!$K14*'FE Sectorial'!$H17*'FE Sectorial'!O17/1000/1000</f>
        <v>0</v>
      </c>
      <c r="O18" s="87">
        <f>IF(D18&lt;400,H18+I18*'Factores generales'!$M$41+J18*'Factores generales'!$N$41,I18*'Factores generales'!$M$41+J18*'Factores generales'!$N$41)</f>
        <v>1445107.73434956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Actividad'!$K15*'FE Sectorial'!$H18*'FE Sectorial'!I18*'FE Sectorial'!P18/1000</f>
        <v>0</v>
      </c>
      <c r="I19" s="17">
        <f>'Datos Actividad'!$K15*'FE Sectorial'!$H18*'FE Sectorial'!J18/1000/1000</f>
        <v>0</v>
      </c>
      <c r="J19" s="17">
        <f>'Datos Actividad'!$K15*'FE Sectorial'!$H18*'FE Sectorial'!K18/1000/1000</f>
        <v>0</v>
      </c>
      <c r="K19" s="17">
        <f>'Datos Actividad'!$K15*'FE Sectorial'!$H18*'FE Sectorial'!L18/1000/1000</f>
        <v>0</v>
      </c>
      <c r="L19" s="17">
        <f>'Datos Actividad'!$K15*'FE Sectorial'!$H18*'FE Sectorial'!M18/1000/1000</f>
        <v>0</v>
      </c>
      <c r="M19" s="17">
        <f>'Datos Actividad'!$K15*'FE Sectorial'!$H18*'FE Sectorial'!N18/1000/1000</f>
        <v>0</v>
      </c>
      <c r="N19" s="17">
        <f>'Datos Actividad'!$K15*'FE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Actividad'!$K16*'FE Sectorial'!$H19*'FE Sectorial'!I19*'FE Sectorial'!P19/1000</f>
        <v>1641067.4708301174</v>
      </c>
      <c r="I20" s="17">
        <f>'Datos Actividad'!$K16*'FE Sectorial'!$H19*'FE Sectorial'!J19/1000/1000</f>
        <v>28.633924323529413</v>
      </c>
      <c r="J20" s="17">
        <f>'Datos Actividad'!$K16*'FE Sectorial'!$H19*'FE Sectorial'!K19/1000/1000</f>
        <v>2.8633924323529412</v>
      </c>
      <c r="K20" s="17">
        <f>'Datos Actividad'!$K16*'FE Sectorial'!$H19*'FE Sectorial'!L19/1000/1000</f>
        <v>4295.0886485294113</v>
      </c>
      <c r="L20" s="17">
        <f>'Datos Actividad'!$K16*'FE Sectorial'!$H19*'FE Sectorial'!M19/1000/1000</f>
        <v>572.67848647058827</v>
      </c>
      <c r="M20" s="17">
        <f>'Datos Actividad'!$K16*'FE Sectorial'!$H19*'FE Sectorial'!N19/1000/1000</f>
        <v>143.16962161764707</v>
      </c>
      <c r="N20" s="17">
        <f>'Datos Actividad'!$K16*'FE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1642556.434894941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Actividad'!$K17*'FE Sectorial'!$H20*'FE Sectorial'!I20*'FE Sectorial'!P20/1000</f>
        <v>0</v>
      </c>
      <c r="I21" s="17">
        <f>'Datos Actividad'!$K17*'FE Sectorial'!$H20*'FE Sectorial'!J20/1000/1000</f>
        <v>0</v>
      </c>
      <c r="J21" s="17">
        <f>'Datos Actividad'!$K17*'FE Sectorial'!$H20*'FE Sectorial'!K20/1000/1000</f>
        <v>0</v>
      </c>
      <c r="K21" s="17">
        <f>'Datos Actividad'!$K17*'FE Sectorial'!$H20*'FE Sectorial'!L20/1000/1000</f>
        <v>0</v>
      </c>
      <c r="L21" s="17">
        <f>'Datos Actividad'!$K17*'FE Sectorial'!$H20*'FE Sectorial'!M20/1000/1000</f>
        <v>0</v>
      </c>
      <c r="M21" s="17">
        <f>'Datos Actividad'!$K17*'FE Sectorial'!$H20*'FE Sectorial'!N20/1000/1000</f>
        <v>0</v>
      </c>
      <c r="N21" s="17">
        <f>'Datos Actividad'!$K17*'FE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Actividad'!$K18*'FE Sectorial'!$H21*'FE Sectorial'!I21*'FE Sectorial'!P21/1000</f>
        <v>15091.585301059824</v>
      </c>
      <c r="I22" s="17">
        <f>'Datos Actividad'!$K18*'FE Sectorial'!$H21*'FE Sectorial'!J21/1000/1000</f>
        <v>0.65991452626086955</v>
      </c>
      <c r="J22" s="17">
        <f>'Datos Actividad'!$K18*'FE Sectorial'!$H21*'FE Sectorial'!K21/1000/1000</f>
        <v>0.13198290525217388</v>
      </c>
      <c r="K22" s="17">
        <f>'Datos Actividad'!$K18*'FE Sectorial'!$H21*'FE Sectorial'!L21/1000/1000</f>
        <v>43.994301750724631</v>
      </c>
      <c r="L22" s="17">
        <f>'Datos Actividad'!$K18*'FE Sectorial'!$H21*'FE Sectorial'!M21/1000/1000</f>
        <v>3.2995726313043474</v>
      </c>
      <c r="M22" s="17">
        <f>'Datos Actividad'!$K18*'FE Sectorial'!$H21*'FE Sectorial'!N21/1000/1000</f>
        <v>1.099857543768116</v>
      </c>
      <c r="N22" s="17">
        <f>'Datos Actividad'!$K18*'FE Sectorial'!$H21*'FE Sectorial'!O21/1000/1000</f>
        <v>0.99309936231884055</v>
      </c>
      <c r="O22" s="87">
        <f>IF(D22&lt;400,H22+I22*'Factores generales'!$M$41+J22*'Factores generales'!$N$41,I22*'Factores generales'!$M$41+J22*'Factores generales'!$N$41)</f>
        <v>15146.358206739476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Actividad'!$K19*'FE Sectorial'!$H22*'FE Sectorial'!I22*'FE Sectorial'!P22/1000</f>
        <v>43498.666666480225</v>
      </c>
      <c r="I23" s="17">
        <f>'Datos Actividad'!$K19*'FE Sectorial'!$H22*'FE Sectorial'!J22/1000/1000</f>
        <v>1.7788683051764704</v>
      </c>
      <c r="J23" s="17">
        <f>'Datos Actividad'!$K19*'FE Sectorial'!$H22*'FE Sectorial'!K22/1000/1000</f>
        <v>0.35577366103529412</v>
      </c>
      <c r="K23" s="17">
        <f>'Datos Actividad'!$K19*'FE Sectorial'!$H22*'FE Sectorial'!L22/1000/1000</f>
        <v>118.59122034509804</v>
      </c>
      <c r="L23" s="17">
        <f>'Datos Actividad'!$K19*'FE Sectorial'!$H22*'FE Sectorial'!M22/1000/1000</f>
        <v>8.8943415258823517</v>
      </c>
      <c r="M23" s="17">
        <f>'Datos Actividad'!$K19*'FE Sectorial'!$H22*'FE Sectorial'!N22/1000/1000</f>
        <v>2.964780508627451</v>
      </c>
      <c r="N23" s="17">
        <f>'Datos Actividad'!$K19*'FE Sectorial'!$H22*'FE Sectorial'!O22/1000/1000</f>
        <v>21.511895783529415</v>
      </c>
      <c r="O23" s="87">
        <f>IF(D23&lt;400,H23+I23*'Factores generales'!$M$41+J23*'Factores generales'!$N$41,I23*'Factores generales'!$M$41+J23*'Factores generales'!$N$41)</f>
        <v>43646.312735809872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Actividad'!$K20*'FE Sectorial'!$H23*'FE Sectorial'!I23*'FE Sectorial'!P23/1000</f>
        <v>1003090.1057975159</v>
      </c>
      <c r="I24" s="17">
        <f>'Datos Actividad'!$K20*'FE Sectorial'!$H23*'FE Sectorial'!J23/1000/1000</f>
        <v>39.272183297999995</v>
      </c>
      <c r="J24" s="17">
        <f>'Datos Actividad'!$K20*'FE Sectorial'!$H23*'FE Sectorial'!K23/1000/1000</f>
        <v>7.8544366595999993</v>
      </c>
      <c r="K24" s="17">
        <f>'Datos Actividad'!$K20*'FE Sectorial'!$H23*'FE Sectorial'!L23/1000/1000</f>
        <v>2618.1455532</v>
      </c>
      <c r="L24" s="17">
        <f>'Datos Actividad'!$K20*'FE Sectorial'!$H23*'FE Sectorial'!M23/1000/1000</f>
        <v>196.36091648999997</v>
      </c>
      <c r="M24" s="17">
        <f>'Datos Actividad'!$K20*'FE Sectorial'!$H23*'FE Sectorial'!N23/1000/1000</f>
        <v>65.453638830000003</v>
      </c>
      <c r="N24" s="17">
        <f>'Datos Actividad'!$K20*'FE Sectorial'!$H23*'FE Sectorial'!O23/1000/1000</f>
        <v>2592.2233200000001</v>
      </c>
      <c r="O24" s="87">
        <f>IF(D24&lt;400,H24+I24*'Factores generales'!$M$41+J24*'Factores generales'!$N$41,I24*'Factores generales'!$M$41+J24*'Factores generales'!$N$41)</f>
        <v>1006349.69701125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Actividad'!$K21*'FE Sectorial'!$H24*'FE Sectorial'!I24*'FE Sectorial'!P24/1000</f>
        <v>295429.85062500008</v>
      </c>
      <c r="I25" s="17">
        <f>'Datos Actividad'!$K21*'FE Sectorial'!$H24*'FE Sectorial'!J24/1000/1000</f>
        <v>3.0918875000000003</v>
      </c>
      <c r="J25" s="17">
        <f>'Datos Actividad'!$K21*'FE Sectorial'!$H24*'FE Sectorial'!K24/1000/1000</f>
        <v>4.6378312500000014</v>
      </c>
      <c r="K25" s="17">
        <f>'Datos Actividad'!$K21*'FE Sectorial'!$H24*'FE Sectorial'!L24/1000/1000</f>
        <v>927.56625000000008</v>
      </c>
      <c r="L25" s="17">
        <f>'Datos Actividad'!$K21*'FE Sectorial'!$H24*'FE Sectorial'!M24/1000/1000</f>
        <v>61.837750000000007</v>
      </c>
      <c r="M25" s="17">
        <f>'Datos Actividad'!$K21*'FE Sectorial'!$H24*'FE Sectorial'!N24/1000/1000</f>
        <v>15.459437500000002</v>
      </c>
      <c r="N25" s="17">
        <f>'Datos Actividad'!$K21*'FE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296932.50795000012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8709835.0810516514</v>
      </c>
      <c r="I26" s="134">
        <f t="shared" ref="I26:O26" si="6">I27+I28</f>
        <v>159.02883149509501</v>
      </c>
      <c r="J26" s="134">
        <f t="shared" si="6"/>
        <v>17.446223819019</v>
      </c>
      <c r="K26" s="134">
        <f t="shared" si="6"/>
        <v>23448.574019672997</v>
      </c>
      <c r="L26" s="134">
        <f t="shared" si="6"/>
        <v>3089.4884174754752</v>
      </c>
      <c r="M26" s="134">
        <f t="shared" si="6"/>
        <v>774.90233249182506</v>
      </c>
      <c r="N26" s="134">
        <f t="shared" si="6"/>
        <v>1637.4164963000003</v>
      </c>
      <c r="O26" s="134">
        <f t="shared" si="6"/>
        <v>8718583.0158969462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8709835.0810516514</v>
      </c>
      <c r="I28" s="15">
        <f t="shared" si="7"/>
        <v>159.02883149509501</v>
      </c>
      <c r="J28" s="15">
        <f t="shared" si="7"/>
        <v>17.446223819019</v>
      </c>
      <c r="K28" s="15">
        <f t="shared" si="7"/>
        <v>23448.574019672997</v>
      </c>
      <c r="L28" s="15">
        <f t="shared" si="7"/>
        <v>3089.4884174754752</v>
      </c>
      <c r="M28" s="15">
        <f t="shared" si="7"/>
        <v>774.90233249182506</v>
      </c>
      <c r="N28" s="15">
        <f t="shared" si="7"/>
        <v>1637.4164963000003</v>
      </c>
      <c r="O28" s="15">
        <f t="shared" si="7"/>
        <v>8718583.0158969462</v>
      </c>
    </row>
    <row r="29" spans="1:15" outlineLevel="1" x14ac:dyDescent="0.25">
      <c r="B29" s="1" t="s">
        <v>7</v>
      </c>
      <c r="G29" s="1"/>
      <c r="H29" s="95">
        <f t="shared" ref="H29:O29" si="8">H30+H31</f>
        <v>64776.131930399999</v>
      </c>
      <c r="I29" s="95">
        <f t="shared" si="8"/>
        <v>0.78266880000000016</v>
      </c>
      <c r="J29" s="95">
        <f t="shared" si="8"/>
        <v>1.0257564000000001</v>
      </c>
      <c r="K29" s="95">
        <f t="shared" si="8"/>
        <v>208.19224</v>
      </c>
      <c r="L29" s="95">
        <f t="shared" si="8"/>
        <v>13.942836000000002</v>
      </c>
      <c r="M29" s="95">
        <f t="shared" si="8"/>
        <v>3.5332240000000001</v>
      </c>
      <c r="N29" s="95">
        <f t="shared" si="8"/>
        <v>641.5042400000001</v>
      </c>
      <c r="O29" s="95">
        <f t="shared" si="8"/>
        <v>65110.5524592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Actividad'!$K26*'FE Sectorial'!$H29*'FE Sectorial'!I29*'FE Sectorial'!P29/1000</f>
        <v>61987.609622399999</v>
      </c>
      <c r="I30" s="17">
        <f>'Datos Actividad'!$K26*'FE Sectorial'!$H29*'FE Sectorial'!J29/1000/1000</f>
        <v>0.66863280000000014</v>
      </c>
      <c r="J30" s="17">
        <f>'Datos Actividad'!$K26*'FE Sectorial'!$H29*'FE Sectorial'!K29/1000/1000</f>
        <v>1.0029492000000002</v>
      </c>
      <c r="K30" s="17">
        <f>'Datos Actividad'!$K26*'FE Sectorial'!$H29*'FE Sectorial'!L29/1000/1000</f>
        <v>200.58984000000001</v>
      </c>
      <c r="L30" s="17">
        <f>'Datos Actividad'!$K26*'FE Sectorial'!$H29*'FE Sectorial'!M29/1000/1000</f>
        <v>13.372656000000001</v>
      </c>
      <c r="M30" s="17">
        <f>'Datos Actividad'!$K26*'FE Sectorial'!$H29*'FE Sectorial'!N29/1000/1000</f>
        <v>3.3431640000000002</v>
      </c>
      <c r="N30" s="17">
        <f>'Datos Actividad'!$K26*'FE Sectorial'!$H29*'FE Sectorial'!O29/1000/1000</f>
        <v>640.12520000000006</v>
      </c>
      <c r="O30" s="87">
        <f>IF(D30&lt;400,H30+I30*'Factores generales'!$M$41+J30*'Factores generales'!$N$41,I30*'Factores generales'!$M$41+J30*'Factores generales'!$N$41)</f>
        <v>62312.565163200001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Actividad'!$K27*'FE Sectorial'!$H30*'FE Sectorial'!I30*'FE Sectorial'!P30/1000</f>
        <v>2788.5223079999996</v>
      </c>
      <c r="I31" s="17">
        <f>'Datos Actividad'!$K27*'FE Sectorial'!$H30*'FE Sectorial'!J30/1000/1000</f>
        <v>0.114036</v>
      </c>
      <c r="J31" s="17">
        <f>'Datos Actividad'!$K27*'FE Sectorial'!$H30*'FE Sectorial'!K30/1000/1000</f>
        <v>2.2807200000000003E-2</v>
      </c>
      <c r="K31" s="17">
        <f>'Datos Actividad'!$K27*'FE Sectorial'!$H30*'FE Sectorial'!L30/1000/1000</f>
        <v>7.6023999999999994</v>
      </c>
      <c r="L31" s="17">
        <f>'Datos Actividad'!$K27*'FE Sectorial'!$H30*'FE Sectorial'!M30/1000/1000</f>
        <v>0.57017999999999991</v>
      </c>
      <c r="M31" s="17">
        <f>'Datos Actividad'!$K27*'FE Sectorial'!$H30*'FE Sectorial'!N30/1000/1000</f>
        <v>0.19006000000000001</v>
      </c>
      <c r="N31" s="17">
        <f>'Datos Actividad'!$K27*'FE Sectorial'!$H30*'FE Sectorial'!O30/1000/1000</f>
        <v>1.37904</v>
      </c>
      <c r="O31" s="87">
        <f>IF(D31&lt;400,H31+I31*'Factores generales'!$M$41+J31*'Factores generales'!$N$41,I31*'Factores generales'!$M$41+J31*'Factores generales'!$N$41)</f>
        <v>2797.9872959999998</v>
      </c>
    </row>
    <row r="32" spans="1:15" outlineLevel="1" x14ac:dyDescent="0.25">
      <c r="B32" s="1" t="s">
        <v>6</v>
      </c>
      <c r="G32" s="1"/>
      <c r="H32" s="17">
        <f>H33+H34+H35</f>
        <v>8645058.9491212517</v>
      </c>
      <c r="I32" s="17">
        <f t="shared" ref="I32:O32" si="9">I33+I34+I35</f>
        <v>158.24616269509499</v>
      </c>
      <c r="J32" s="17">
        <f t="shared" si="9"/>
        <v>16.420467419019001</v>
      </c>
      <c r="K32" s="17">
        <f t="shared" si="9"/>
        <v>23240.381779672996</v>
      </c>
      <c r="L32" s="17">
        <f t="shared" si="9"/>
        <v>3075.545581475475</v>
      </c>
      <c r="M32" s="17">
        <f t="shared" si="9"/>
        <v>771.36910849182505</v>
      </c>
      <c r="N32" s="17">
        <f t="shared" si="9"/>
        <v>995.91225630000008</v>
      </c>
      <c r="O32" s="17">
        <f t="shared" si="9"/>
        <v>8653472.4634377453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Actividad'!$K29*'FE Sectorial'!$H32*'FE Sectorial'!I32*'FE Sectorial'!P32/1000</f>
        <v>8500620.5461583994</v>
      </c>
      <c r="I33" s="17">
        <f>'Datos Actividad'!$K29*'FE Sectorial'!$H32*'FE Sectorial'!J32/1000/1000</f>
        <v>152.2876512</v>
      </c>
      <c r="J33" s="17">
        <f>'Datos Actividad'!$K29*'FE Sectorial'!$H32*'FE Sectorial'!K32/1000/1000</f>
        <v>15.22876512</v>
      </c>
      <c r="K33" s="17">
        <f>'Datos Actividad'!$K29*'FE Sectorial'!$H32*'FE Sectorial'!L32/1000/1000</f>
        <v>22843.147679999998</v>
      </c>
      <c r="L33" s="17">
        <f>'Datos Actividad'!$K29*'FE Sectorial'!$H32*'FE Sectorial'!M32/1000/1000</f>
        <v>3045.7530240000001</v>
      </c>
      <c r="M33" s="17">
        <f>'Datos Actividad'!$K29*'FE Sectorial'!$H32*'FE Sectorial'!N32/1000/1000</f>
        <v>761.43825600000002</v>
      </c>
      <c r="N33" s="17">
        <f>'Datos Actividad'!$K29*'FE Sectorial'!$H32*'FE Sectorial'!O32/1000/1000</f>
        <v>0</v>
      </c>
      <c r="O33" s="87">
        <f>IF(D33&lt;400,H33+I33*'Factores generales'!$M$41+J33*'Factores generales'!$N$41,I33*'Factores generales'!$M$41+J33*'Factores generales'!$N$41)</f>
        <v>8508539.5040208008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Actividad'!$K30*'FE Sectorial'!$H33*'FE Sectorial'!I33*'FE Sectorial'!P33/1000</f>
        <v>28525.573790999999</v>
      </c>
      <c r="I34" s="17">
        <f>'Datos Actividad'!$K30*'FE Sectorial'!$H33*'FE Sectorial'!J33/1000/1000</f>
        <v>1.166547</v>
      </c>
      <c r="J34" s="17">
        <f>'Datos Actividad'!$K30*'FE Sectorial'!$H33*'FE Sectorial'!K33/1000/1000</f>
        <v>0.23330939999999997</v>
      </c>
      <c r="K34" s="17">
        <f>'Datos Actividad'!$K30*'FE Sectorial'!$H33*'FE Sectorial'!L33/1000/1000</f>
        <v>77.769800000000004</v>
      </c>
      <c r="L34" s="17">
        <f>'Datos Actividad'!$K30*'FE Sectorial'!$H33*'FE Sectorial'!M33/1000/1000</f>
        <v>5.8327349999999996</v>
      </c>
      <c r="M34" s="17">
        <f>'Datos Actividad'!$K30*'FE Sectorial'!$H33*'FE Sectorial'!N33/1000/1000</f>
        <v>1.944245</v>
      </c>
      <c r="N34" s="17">
        <f>'Datos Actividad'!$K30*'FE Sectorial'!$H33*'FE Sectorial'!O33/1000/1000</f>
        <v>14.10708</v>
      </c>
      <c r="O34" s="87">
        <f>IF(D34&lt;400,H34+I34*'Factores generales'!$M$41+J34*'Factores generales'!$N$41,I34*'Factores generales'!$M$41+J34*'Factores generales'!$N$41)</f>
        <v>28622.397192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Actividad'!$K31*'FE Sectorial'!$H34*'FE Sectorial'!I34*'FE Sectorial'!P34/1000</f>
        <v>115912.82917185297</v>
      </c>
      <c r="I35" s="17">
        <f>'Datos Actividad'!$K31*'FE Sectorial'!$H34*'FE Sectorial'!J34/1000/1000</f>
        <v>4.7919644950950007</v>
      </c>
      <c r="J35" s="17">
        <f>'Datos Actividad'!$K31*'FE Sectorial'!$H34*'FE Sectorial'!K34/1000/1000</f>
        <v>0.95839289901899993</v>
      </c>
      <c r="K35" s="17">
        <f>'Datos Actividad'!$K31*'FE Sectorial'!$H34*'FE Sectorial'!L34/1000/1000</f>
        <v>319.46429967300008</v>
      </c>
      <c r="L35" s="17">
        <f>'Datos Actividad'!$K31*'FE Sectorial'!$H34*'FE Sectorial'!M34/1000/1000</f>
        <v>23.959822475475001</v>
      </c>
      <c r="M35" s="17">
        <f>'Datos Actividad'!$K31*'FE Sectorial'!$H34*'FE Sectorial'!N34/1000/1000</f>
        <v>7.9866074918250005</v>
      </c>
      <c r="N35" s="17">
        <f>'Datos Actividad'!$K31*'FE Sectorial'!$H34*'FE Sectorial'!O34/1000/1000</f>
        <v>981.80517630000008</v>
      </c>
      <c r="O35" s="87">
        <f>IF(D35&lt;400,H35+I35*'Factores generales'!$M$41+J35*'Factores generales'!$N$41,I35*'Factores generales'!$M$41+J35*'Factores generales'!$N$41)</f>
        <v>116310.56222494585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26827957.074477557</v>
      </c>
      <c r="I36" s="129">
        <f t="shared" si="10"/>
        <v>3864.1496884106364</v>
      </c>
      <c r="J36" s="129">
        <f t="shared" si="10"/>
        <v>576.73378324670671</v>
      </c>
      <c r="K36" s="129">
        <f t="shared" si="10"/>
        <v>79872.443532403937</v>
      </c>
      <c r="L36" s="129">
        <f t="shared" si="10"/>
        <v>442770.13000155601</v>
      </c>
      <c r="M36" s="129">
        <f t="shared" si="10"/>
        <v>8421.6392162624015</v>
      </c>
      <c r="N36" s="129">
        <f t="shared" si="10"/>
        <v>6931.6612098379992</v>
      </c>
      <c r="O36" s="129">
        <f t="shared" si="10"/>
        <v>27087891.69074066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9386960.6028382983</v>
      </c>
      <c r="I37" s="134">
        <f t="shared" ref="I37:O37" si="11">SUM(I38:I44)</f>
        <v>107.41252708235012</v>
      </c>
      <c r="J37" s="134">
        <f t="shared" si="11"/>
        <v>65.14945680776718</v>
      </c>
      <c r="K37" s="134">
        <f t="shared" si="11"/>
        <v>21650.938085159538</v>
      </c>
      <c r="L37" s="134">
        <f t="shared" si="11"/>
        <v>7777.1312787161178</v>
      </c>
      <c r="M37" s="134">
        <f t="shared" si="11"/>
        <v>1106.4070686924524</v>
      </c>
      <c r="N37" s="134">
        <f t="shared" si="11"/>
        <v>203.57947999999999</v>
      </c>
      <c r="O37" s="134">
        <f t="shared" si="11"/>
        <v>9409412.5975174364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Actividad'!$K34*'FE Sectorial'!$H37*'FE Sectorial'!I37*'FE Sectorial'!P37/1000</f>
        <v>2696647.8141812882</v>
      </c>
      <c r="I38" s="17">
        <f>'Datos Actividad'!$K34*'FE Sectorial'!$H37*'FE Sectorial'!J37/1000/1000</f>
        <v>48.310139184000001</v>
      </c>
      <c r="J38" s="17">
        <f>'Datos Actividad'!$K34*'FE Sectorial'!$H37*'FE Sectorial'!K37/1000/1000</f>
        <v>4.8310139184000001</v>
      </c>
      <c r="K38" s="17">
        <f>'Datos Actividad'!$K34*'FE Sectorial'!$H37*'FE Sectorial'!L37/1000/1000</f>
        <v>7246.5208775999999</v>
      </c>
      <c r="L38" s="17">
        <f>'Datos Actividad'!$K34*'FE Sectorial'!$H37*'FE Sectorial'!M37/1000/1000</f>
        <v>1449.3041755199999</v>
      </c>
      <c r="M38" s="17">
        <f>'Datos Actividad'!$K34*'FE Sectorial'!$H37*'FE Sectorial'!N37/1000/1000</f>
        <v>241.55069592000004</v>
      </c>
      <c r="N38" s="17">
        <f>'Datos Actividad'!$K34*'FE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2699159.9414188564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Actividad'!$K35*'FE Sectorial'!$H38*'FE Sectorial'!I38*'FE Sectorial'!P38/1000</f>
        <v>2594807.9056653394</v>
      </c>
      <c r="I39" s="17">
        <f>'Datos Actividad'!$K35*'FE Sectorial'!$H38*'FE Sectorial'!J38/1000/1000</f>
        <v>10.030181312970001</v>
      </c>
      <c r="J39" s="17">
        <f>'Datos Actividad'!$K35*'FE Sectorial'!$H38*'FE Sectorial'!K38/1000/1000</f>
        <v>1.0030181312970001</v>
      </c>
      <c r="K39" s="17">
        <f>'Datos Actividad'!$K35*'FE Sectorial'!$H38*'FE Sectorial'!L38/1000/1000</f>
        <v>1504.5271969455</v>
      </c>
      <c r="L39" s="17">
        <f>'Datos Actividad'!$K35*'FE Sectorial'!$H38*'FE Sectorial'!M38/1000/1000</f>
        <v>300.90543938910002</v>
      </c>
      <c r="M39" s="17">
        <f>'Datos Actividad'!$K35*'FE Sectorial'!$H38*'FE Sectorial'!N38/1000/1000</f>
        <v>50.150906564850004</v>
      </c>
      <c r="N39" s="17">
        <f>'Datos Actividad'!$K35*'FE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2595329.4750936138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Actividad'!$K36*'FE Sectorial'!$H39*'FE Sectorial'!I39*'FE Sectorial'!P39/1000</f>
        <v>324356.9921262</v>
      </c>
      <c r="I40" s="17">
        <f>'Datos Actividad'!$K36*'FE Sectorial'!$H39*'FE Sectorial'!J39/1000/1000</f>
        <v>7.3420479000000016</v>
      </c>
      <c r="J40" s="17">
        <f>'Datos Actividad'!$K36*'FE Sectorial'!$H39*'FE Sectorial'!K39/1000/1000</f>
        <v>0.73420479000000016</v>
      </c>
      <c r="K40" s="17">
        <f>'Datos Actividad'!$K36*'FE Sectorial'!$H39*'FE Sectorial'!L39/1000/1000</f>
        <v>1101.3071850000003</v>
      </c>
      <c r="L40" s="17">
        <f>'Datos Actividad'!$K36*'FE Sectorial'!$H39*'FE Sectorial'!M39/1000/1000</f>
        <v>220.26143700000003</v>
      </c>
      <c r="M40" s="17">
        <f>'Datos Actividad'!$K36*'FE Sectorial'!$H39*'FE Sectorial'!N39/1000/1000</f>
        <v>36.710239500000007</v>
      </c>
      <c r="N40" s="17">
        <f>'Datos Actividad'!$K36*'FE Sectorial'!$H39*'FE Sectorial'!O39/1000/1000</f>
        <v>0</v>
      </c>
      <c r="O40" s="87">
        <f>IF(D40&lt;400,H40+I40*'Factores generales'!$M$41+J40*'Factores generales'!$N$41,I40*'Factores generales'!$M$41+J40*'Factores generales'!$N$41)</f>
        <v>324738.77861700003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Actividad'!$K37*'FE Sectorial'!$H40*'FE Sectorial'!I40*'FE Sectorial'!P40/1000</f>
        <v>104.09642099999999</v>
      </c>
      <c r="I41" s="17">
        <f>'Datos Actividad'!$K37*'FE Sectorial'!$H40*'FE Sectorial'!J40/1000/1000</f>
        <v>4.2569999999999995E-3</v>
      </c>
      <c r="J41" s="17">
        <f>'Datos Actividad'!$K37*'FE Sectorial'!$H40*'FE Sectorial'!K40/1000/1000</f>
        <v>8.5139999999999999E-4</v>
      </c>
      <c r="K41" s="17">
        <f>'Datos Actividad'!$K37*'FE Sectorial'!$H40*'FE Sectorial'!L40/1000/1000</f>
        <v>0.2838</v>
      </c>
      <c r="L41" s="17">
        <f>'Datos Actividad'!$K37*'FE Sectorial'!$H40*'FE Sectorial'!M40/1000/1000</f>
        <v>1.4189999999999999E-2</v>
      </c>
      <c r="M41" s="17">
        <f>'Datos Actividad'!$K37*'FE Sectorial'!$H40*'FE Sectorial'!N40/1000/1000</f>
        <v>7.0949999999999997E-3</v>
      </c>
      <c r="N41" s="17">
        <f>'Datos Actividad'!$K37*'FE Sectorial'!$H40*'FE Sectorial'!O40/1000/1000</f>
        <v>5.1479999999999998E-2</v>
      </c>
      <c r="O41" s="87">
        <f>IF(D41&lt;400,H41+I41*'Factores generales'!$M$41+J41*'Factores generales'!$N$41,I41*'Factores generales'!$M$41+J41*'Factores generales'!$N$41)</f>
        <v>104.449752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Actividad'!$K38*'FE Sectorial'!$H41*'FE Sectorial'!I41*'FE Sectorial'!P41/1000</f>
        <v>78757.459466400003</v>
      </c>
      <c r="I42" s="17">
        <f>'Datos Actividad'!$K38*'FE Sectorial'!$H41*'FE Sectorial'!J41/1000/1000</f>
        <v>3.0834491999999996</v>
      </c>
      <c r="J42" s="17">
        <f>'Datos Actividad'!$K38*'FE Sectorial'!$H41*'FE Sectorial'!K41/1000/1000</f>
        <v>0.61668984000000004</v>
      </c>
      <c r="K42" s="17">
        <f>'Datos Actividad'!$K38*'FE Sectorial'!$H41*'FE Sectorial'!L41/1000/1000</f>
        <v>205.56327999999996</v>
      </c>
      <c r="L42" s="17">
        <f>'Datos Actividad'!$K38*'FE Sectorial'!$H41*'FE Sectorial'!M41/1000/1000</f>
        <v>10.278164</v>
      </c>
      <c r="M42" s="17">
        <f>'Datos Actividad'!$K38*'FE Sectorial'!$H41*'FE Sectorial'!N41/1000/1000</f>
        <v>5.1390820000000001</v>
      </c>
      <c r="N42" s="17">
        <f>'Datos Actividad'!$K38*'FE Sectorial'!$H41*'FE Sectorial'!O41/1000/1000</f>
        <v>203.52799999999999</v>
      </c>
      <c r="O42" s="87">
        <f>IF(D42&lt;400,H42+I42*'Factores generales'!$M$41+J42*'Factores generales'!$N$41,I42*'Factores generales'!$M$41+J42*'Factores generales'!$N$41)</f>
        <v>79013.385750000001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Actividad'!$K39*'FE Sectorial'!$H42*'FE Sectorial'!I42*'FE Sectorial'!P42/1000</f>
        <v>2963385.8141447371</v>
      </c>
      <c r="I43" s="17">
        <f>'Datos Actividad'!$K39*'FE Sectorial'!$H42*'FE Sectorial'!J42/1000/1000</f>
        <v>31.013980263157897</v>
      </c>
      <c r="J43" s="17">
        <f>'Datos Actividad'!$K39*'FE Sectorial'!$H42*'FE Sectorial'!K42/1000/1000</f>
        <v>46.52097039473685</v>
      </c>
      <c r="K43" s="17">
        <f>'Datos Actividad'!$K39*'FE Sectorial'!$H42*'FE Sectorial'!L42/1000/1000</f>
        <v>9304.1940789473683</v>
      </c>
      <c r="L43" s="17">
        <f>'Datos Actividad'!$K39*'FE Sectorial'!$H42*'FE Sectorial'!M42/1000/1000</f>
        <v>4652.0970394736842</v>
      </c>
      <c r="M43" s="17">
        <f>'Datos Actividad'!$K39*'FE Sectorial'!$H42*'FE Sectorial'!N42/1000/1000</f>
        <v>620.27960526315803</v>
      </c>
      <c r="N43" s="17">
        <f>'Datos Actividad'!$K39*'FE Sectorial'!$H42*'FE Sectorial'!O42/1000/1000</f>
        <v>0</v>
      </c>
      <c r="O43" s="87">
        <f>IF(D43&lt;400,H43+I43*'Factores generales'!$M$41+J43*'Factores generales'!$N$41,I43*'Factores generales'!$M$41+J43*'Factores generales'!$N$41)</f>
        <v>2978458.6085526319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Actividad'!$K40*'FE Sectorial'!$H43*'FE Sectorial'!I43*'FE Sectorial'!P43/1000</f>
        <v>728900.52083333326</v>
      </c>
      <c r="I44" s="17">
        <f>'Datos Actividad'!$K40*'FE Sectorial'!$H43*'FE Sectorial'!J43/1000/1000</f>
        <v>7.6284722222222214</v>
      </c>
      <c r="J44" s="17">
        <f>'Datos Actividad'!$K40*'FE Sectorial'!$H43*'FE Sectorial'!K43/1000/1000</f>
        <v>11.442708333333334</v>
      </c>
      <c r="K44" s="17">
        <f>'Datos Actividad'!$K40*'FE Sectorial'!$H43*'FE Sectorial'!L43/1000/1000</f>
        <v>2288.5416666666665</v>
      </c>
      <c r="L44" s="17">
        <f>'Datos Actividad'!$K40*'FE Sectorial'!$H43*'FE Sectorial'!M43/1000/1000</f>
        <v>1144.2708333333333</v>
      </c>
      <c r="M44" s="17">
        <f>'Datos Actividad'!$K40*'FE Sectorial'!$H43*'FE Sectorial'!N43/1000/1000</f>
        <v>152.56944444444443</v>
      </c>
      <c r="N44" s="17">
        <f>'Datos Actividad'!$K40*'FE Sectorial'!$H43*'FE Sectorial'!O43/1000/1000</f>
        <v>0</v>
      </c>
      <c r="O44" s="87">
        <f>IF(D44&lt;400,H44+I44*'Factores generales'!$M$41+J44*'Factores generales'!$N$41,I44*'Factores generales'!$M$41+J44*'Factores generales'!$N$41)</f>
        <v>732607.95833333326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896768.65506492008</v>
      </c>
      <c r="I45" s="134">
        <f t="shared" ref="I45:O45" si="12">I46</f>
        <v>16.065508560000001</v>
      </c>
      <c r="J45" s="134">
        <f t="shared" si="12"/>
        <v>1.6065508560000001</v>
      </c>
      <c r="K45" s="134">
        <f t="shared" si="12"/>
        <v>2409.8262839999998</v>
      </c>
      <c r="L45" s="134">
        <f t="shared" si="12"/>
        <v>481.96525680000002</v>
      </c>
      <c r="M45" s="134">
        <f t="shared" si="12"/>
        <v>80.327542799999989</v>
      </c>
      <c r="N45" s="134">
        <f t="shared" si="12"/>
        <v>0</v>
      </c>
      <c r="O45" s="134">
        <f t="shared" si="12"/>
        <v>897604.06151004008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Actividad'!$K42*'FE Sectorial'!$H45*'FE Sectorial'!I45*'FE Sectorial'!P45/1000</f>
        <v>896768.65506492008</v>
      </c>
      <c r="I46" s="17">
        <f>'Datos Actividad'!$K42*'FE Sectorial'!$H45*'FE Sectorial'!J45/1000/1000</f>
        <v>16.065508560000001</v>
      </c>
      <c r="J46" s="17">
        <f>'Datos Actividad'!$K42*'FE Sectorial'!$H45*'FE Sectorial'!K45/1000/1000</f>
        <v>1.6065508560000001</v>
      </c>
      <c r="K46" s="17">
        <f>'Datos Actividad'!$K42*'FE Sectorial'!$H45*'FE Sectorial'!L45/1000/1000</f>
        <v>2409.8262839999998</v>
      </c>
      <c r="L46" s="17">
        <f>'Datos Actividad'!$K42*'FE Sectorial'!$H45*'FE Sectorial'!M45/1000/1000</f>
        <v>481.96525680000002</v>
      </c>
      <c r="M46" s="17">
        <f>'Datos Actividad'!$K42*'FE Sectorial'!$H45*'FE Sectorial'!N45/1000/1000</f>
        <v>80.327542799999989</v>
      </c>
      <c r="N46" s="17">
        <f>'Datos Actividad'!$K42*'FE Sectorial'!$H45*'FE Sectorial'!O45/1000/1000</f>
        <v>0</v>
      </c>
      <c r="O46" s="87">
        <f>IF(D46&lt;400,H46+I46*'Factores generales'!$M$41+J46*'Factores generales'!$N$41,I46*'Factores generales'!$M$41+J46*'Factores generales'!$N$41)</f>
        <v>897604.06151004008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924816.13391296798</v>
      </c>
      <c r="I47" s="134">
        <f t="shared" ref="I47:O47" si="13">SUM(I48:I55)</f>
        <v>116.59997034952643</v>
      </c>
      <c r="J47" s="134">
        <f t="shared" si="13"/>
        <v>15.092071496970194</v>
      </c>
      <c r="K47" s="134">
        <f t="shared" si="13"/>
        <v>2806.4009655517543</v>
      </c>
      <c r="L47" s="134">
        <f t="shared" si="13"/>
        <v>13743.309964740192</v>
      </c>
      <c r="M47" s="134">
        <f t="shared" si="13"/>
        <v>247.59676154587743</v>
      </c>
      <c r="N47" s="134">
        <f t="shared" si="13"/>
        <v>69.862279999999998</v>
      </c>
      <c r="O47" s="134">
        <f t="shared" si="13"/>
        <v>931943.27545436879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Actividad'!$K44*'FE Sectorial'!$H47*'FE Sectorial'!I47*'FE Sectorial'!P47/1000</f>
        <v>849330.00643392</v>
      </c>
      <c r="I48" s="17">
        <f>'Datos Actividad'!$K44*'FE Sectorial'!$H47*'FE Sectorial'!J47/1000/1000</f>
        <v>15.21565056</v>
      </c>
      <c r="J48" s="17">
        <f>'Datos Actividad'!$K44*'FE Sectorial'!$H47*'FE Sectorial'!K47/1000/1000</f>
        <v>1.5215650560000002</v>
      </c>
      <c r="K48" s="17">
        <f>'Datos Actividad'!$K44*'FE Sectorial'!$H47*'FE Sectorial'!L47/1000/1000</f>
        <v>2282.3475839999996</v>
      </c>
      <c r="L48" s="17">
        <f>'Datos Actividad'!$K44*'FE Sectorial'!$H47*'FE Sectorial'!M47/1000/1000</f>
        <v>456.46951680000001</v>
      </c>
      <c r="M48" s="17">
        <f>'Datos Actividad'!$K44*'FE Sectorial'!$H47*'FE Sectorial'!N47/1000/1000</f>
        <v>76.078252800000001</v>
      </c>
      <c r="N48" s="17">
        <f>'Datos Actividad'!$K44*'FE Sectorial'!$H47*'FE Sectorial'!O47/1000/1000</f>
        <v>0</v>
      </c>
      <c r="O48" s="87">
        <f>IF(D48&lt;400,H48+I48*'Factores generales'!$M$41+J48*'Factores generales'!$N$41,I48*'Factores generales'!$M$41+J48*'Factores generales'!$N$41)</f>
        <v>850121.22026304004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Actividad'!$K45*'FE Sectorial'!$H48*'FE Sectorial'!I48*'FE Sectorial'!P48/1000</f>
        <v>21338.193447648002</v>
      </c>
      <c r="I49" s="17">
        <f>'Datos Actividad'!$K45*'FE Sectorial'!$H48*'FE Sectorial'!J48/1000/1000</f>
        <v>0.37231632900000006</v>
      </c>
      <c r="J49" s="17">
        <f>'Datos Actividad'!$K45*'FE Sectorial'!$H48*'FE Sectorial'!K48/1000/1000</f>
        <v>3.7231632899999999E-2</v>
      </c>
      <c r="K49" s="17">
        <f>'Datos Actividad'!$K45*'FE Sectorial'!$H48*'FE Sectorial'!L48/1000/1000</f>
        <v>55.847449350000005</v>
      </c>
      <c r="L49" s="17">
        <f>'Datos Actividad'!$K45*'FE Sectorial'!$H48*'FE Sectorial'!M48/1000/1000</f>
        <v>11.169489870000001</v>
      </c>
      <c r="M49" s="17">
        <f>'Datos Actividad'!$K45*'FE Sectorial'!$H48*'FE Sectorial'!N48/1000/1000</f>
        <v>1.861581645</v>
      </c>
      <c r="N49" s="17">
        <f>'Datos Actividad'!$K45*'FE Sectorial'!$H48*'FE Sectorial'!O48/1000/1000</f>
        <v>0</v>
      </c>
      <c r="O49" s="87">
        <f>IF(D49&lt;400,H49+I49*'Factores generales'!$M$41+J49*'Factores generales'!$N$41,I49*'Factores generales'!$M$41+J49*'Factores generales'!$N$41)</f>
        <v>21357.553896755999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Actividad'!$K46*'FE Sectorial'!$H49*'FE Sectorial'!I49*'FE Sectorial'!P49/1000</f>
        <v>4110.2314109999998</v>
      </c>
      <c r="I50" s="17">
        <f>'Datos Actividad'!$K46*'FE Sectorial'!$H49*'FE Sectorial'!J49/1000/1000</f>
        <v>0.16808699999999999</v>
      </c>
      <c r="J50" s="17">
        <f>'Datos Actividad'!$K46*'FE Sectorial'!$H49*'FE Sectorial'!K49/1000/1000</f>
        <v>3.3617400000000006E-2</v>
      </c>
      <c r="K50" s="17">
        <f>'Datos Actividad'!$K46*'FE Sectorial'!$H49*'FE Sectorial'!L49/1000/1000</f>
        <v>11.2058</v>
      </c>
      <c r="L50" s="17">
        <f>'Datos Actividad'!$K46*'FE Sectorial'!$H49*'FE Sectorial'!M49/1000/1000</f>
        <v>0.56028999999999995</v>
      </c>
      <c r="M50" s="17">
        <f>'Datos Actividad'!$K46*'FE Sectorial'!$H49*'FE Sectorial'!N49/1000/1000</f>
        <v>0.28014499999999998</v>
      </c>
      <c r="N50" s="17">
        <f>'Datos Actividad'!$K46*'FE Sectorial'!$H49*'FE Sectorial'!O49/1000/1000</f>
        <v>2.03268</v>
      </c>
      <c r="O50" s="87">
        <f>IF(D50&lt;400,H50+I50*'Factores generales'!$M$41+J50*'Factores generales'!$N$41,I50*'Factores generales'!$M$41+J50*'Factores generales'!$N$41)</f>
        <v>4124.182632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Actividad'!$K47*'FE Sectorial'!$H50*'FE Sectorial'!I50*'FE Sectorial'!P50/1000</f>
        <v>24430.151631600002</v>
      </c>
      <c r="I51" s="17">
        <f>'Datos Actividad'!$K47*'FE Sectorial'!$H50*'FE Sectorial'!J50/1000/1000</f>
        <v>0.39107639999999999</v>
      </c>
      <c r="J51" s="17">
        <f>'Datos Actividad'!$K47*'FE Sectorial'!$H50*'FE Sectorial'!K50/1000/1000</f>
        <v>3.9107639999999999E-2</v>
      </c>
      <c r="K51" s="17">
        <f>'Datos Actividad'!$K47*'FE Sectorial'!$H50*'FE Sectorial'!L50/1000/1000</f>
        <v>58.661459999999991</v>
      </c>
      <c r="L51" s="17">
        <f>'Datos Actividad'!$K47*'FE Sectorial'!$H50*'FE Sectorial'!M50/1000/1000</f>
        <v>11.732291999999998</v>
      </c>
      <c r="M51" s="17">
        <f>'Datos Actividad'!$K47*'FE Sectorial'!$H50*'FE Sectorial'!N50/1000/1000</f>
        <v>1.9553819999999997</v>
      </c>
      <c r="N51" s="17">
        <f>'Datos Actividad'!$K47*'FE Sectorial'!$H50*'FE Sectorial'!O50/1000/1000</f>
        <v>1.6536000000000002</v>
      </c>
      <c r="O51" s="87">
        <f>IF(D51&lt;400,H51+I51*'Factores generales'!$M$41+J51*'Factores generales'!$N$41,I51*'Factores generales'!$M$41+J51*'Factores generales'!$N$41)</f>
        <v>24450.487604400001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Actividad'!$K48*'FE Sectorial'!$H51*'FE Sectorial'!I51*'FE Sectorial'!P51/1000</f>
        <v>25607.550988800002</v>
      </c>
      <c r="I52" s="17">
        <f>'Datos Actividad'!$K48*'FE Sectorial'!$H51*'FE Sectorial'!J51/1000/1000</f>
        <v>1.0025663999999999</v>
      </c>
      <c r="J52" s="17">
        <f>'Datos Actividad'!$K48*'FE Sectorial'!$H51*'FE Sectorial'!K51/1000/1000</f>
        <v>0.20051328000000002</v>
      </c>
      <c r="K52" s="17">
        <f>'Datos Actividad'!$K48*'FE Sectorial'!$H51*'FE Sectorial'!L51/1000/1000</f>
        <v>66.837759999999989</v>
      </c>
      <c r="L52" s="17">
        <f>'Datos Actividad'!$K48*'FE Sectorial'!$H51*'FE Sectorial'!M51/1000/1000</f>
        <v>3.341888</v>
      </c>
      <c r="M52" s="17">
        <f>'Datos Actividad'!$K48*'FE Sectorial'!$H51*'FE Sectorial'!N51/1000/1000</f>
        <v>1.670944</v>
      </c>
      <c r="N52" s="17">
        <f>'Datos Actividad'!$K48*'FE Sectorial'!$H51*'FE Sectorial'!O51/1000/1000</f>
        <v>66.176000000000002</v>
      </c>
      <c r="O52" s="87">
        <f>IF(D52&lt;400,H52+I52*'Factores generales'!$M$41+J52*'Factores generales'!$N$41,I52*'Factores generales'!$M$41+J52*'Factores generales'!$N$41)</f>
        <v>25690.764000000003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Actividad'!$K49*'FE Sectorial'!$H52*'FE Sectorial'!I52*'FE Sectorial'!P52/1000</f>
        <v>288405.79361552669</v>
      </c>
      <c r="I53" s="17">
        <f>'Datos Actividad'!$K49*'FE Sectorial'!$H52*'FE Sectorial'!J52/1000/1000</f>
        <v>99.450273660526435</v>
      </c>
      <c r="J53" s="17">
        <f>'Datos Actividad'!$K49*'FE Sectorial'!$H52*'FE Sectorial'!K52/1000/1000</f>
        <v>13.260036488070194</v>
      </c>
      <c r="K53" s="17">
        <f>'Datos Actividad'!$K49*'FE Sectorial'!$H52*'FE Sectorial'!L52/1000/1000</f>
        <v>331.50091220175483</v>
      </c>
      <c r="L53" s="17">
        <f>'Datos Actividad'!$K49*'FE Sectorial'!$H52*'FE Sectorial'!M52/1000/1000</f>
        <v>13260.036488070193</v>
      </c>
      <c r="M53" s="17">
        <f>'Datos Actividad'!$K49*'FE Sectorial'!$H52*'FE Sectorial'!N52/1000/1000</f>
        <v>165.75045610087741</v>
      </c>
      <c r="N53" s="17">
        <f>'Datos Actividad'!$K49*'FE Sectorial'!$H52*'FE Sectorial'!O52/1000/1000</f>
        <v>0</v>
      </c>
      <c r="O53" s="87">
        <f>IF(D53&lt;400,H53+I53*'Factores generales'!$M$41+J53*'Factores generales'!$N$41,I53*'Factores generales'!$M$41+J53*'Factores generales'!$N$41)</f>
        <v>6199.0670581728155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Actividad'!$K50*'FE Sectorial'!$H53*'FE Sectorial'!I53*'FE Sectorial'!P53/1000</f>
        <v>0</v>
      </c>
      <c r="I54" s="17">
        <f>'Datos Actividad'!$K50*'FE Sectorial'!$H53*'FE Sectorial'!J53/1000/1000</f>
        <v>0</v>
      </c>
      <c r="J54" s="17">
        <f>'Datos Actividad'!$K50*'FE Sectorial'!$H53*'FE Sectorial'!K53/1000/1000</f>
        <v>0</v>
      </c>
      <c r="K54" s="17">
        <f>'Datos Actividad'!$K50*'FE Sectorial'!$H53*'FE Sectorial'!L53/1000/1000</f>
        <v>0</v>
      </c>
      <c r="L54" s="17">
        <f>'Datos Actividad'!$K50*'FE Sectorial'!$H53*'FE Sectorial'!M53/1000/1000</f>
        <v>0</v>
      </c>
      <c r="M54" s="17">
        <f>'Datos Actividad'!$K50*'FE Sectorial'!$H53*'FE Sectorial'!N53/1000/1000</f>
        <v>0</v>
      </c>
      <c r="N54" s="17">
        <f>'Datos Actividad'!$K50*'FE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Actividad'!$K51*'FE Sectorial'!$H54*'FE Sectorial'!I54*'FE Sectorial'!P54/1000</f>
        <v>0</v>
      </c>
      <c r="I55" s="17">
        <f>'Datos Actividad'!$K51*'FE Sectorial'!$H54*'FE Sectorial'!J54/1000/1000</f>
        <v>0</v>
      </c>
      <c r="J55" s="17">
        <f>'Datos Actividad'!$K51*'FE Sectorial'!$H54*'FE Sectorial'!K54/1000/1000</f>
        <v>0</v>
      </c>
      <c r="K55" s="17">
        <f>'Datos Actividad'!$K51*'FE Sectorial'!$H54*'FE Sectorial'!L54/1000/1000</f>
        <v>0</v>
      </c>
      <c r="L55" s="17">
        <f>'Datos Actividad'!$K51*'FE Sectorial'!$H54*'FE Sectorial'!M54/1000/1000</f>
        <v>0</v>
      </c>
      <c r="M55" s="17">
        <f>'Datos Actividad'!$K51*'FE Sectorial'!$H54*'FE Sectorial'!N54/1000/1000</f>
        <v>0</v>
      </c>
      <c r="N55" s="17">
        <f>'Datos Actividad'!$K51*'FE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810577.54114919994</v>
      </c>
      <c r="I56" s="134">
        <f>SUM(I57:I62)</f>
        <v>742.10154006052642</v>
      </c>
      <c r="J56" s="134">
        <f t="shared" ref="J56:O56" si="14">SUM(J57:J62)</f>
        <v>98.93875112807018</v>
      </c>
      <c r="K56" s="134">
        <f t="shared" si="14"/>
        <v>4582.9992582017549</v>
      </c>
      <c r="L56" s="134">
        <f t="shared" si="14"/>
        <v>87507.002882070199</v>
      </c>
      <c r="M56" s="134">
        <f t="shared" si="14"/>
        <v>1276.4067841008773</v>
      </c>
      <c r="N56" s="134">
        <f t="shared" si="14"/>
        <v>1568.1577199999999</v>
      </c>
      <c r="O56" s="134">
        <f t="shared" si="14"/>
        <v>856832.68634017289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Actividad'!$K53*'FE Sectorial'!$H56*'FE Sectorial'!I56*'FE Sectorial'!P56/1000</f>
        <v>662648.08783139999</v>
      </c>
      <c r="I57" s="17">
        <f>'Datos Actividad'!$K53*'FE Sectorial'!$H56*'FE Sectorial'!J56/1000/1000</f>
        <v>11.8712652</v>
      </c>
      <c r="J57" s="17">
        <f>'Datos Actividad'!$K53*'FE Sectorial'!$H56*'FE Sectorial'!K56/1000/1000</f>
        <v>1.1871265200000001</v>
      </c>
      <c r="K57" s="17">
        <f>'Datos Actividad'!$K53*'FE Sectorial'!$H56*'FE Sectorial'!L56/1000/1000</f>
        <v>1780.6897799999999</v>
      </c>
      <c r="L57" s="17">
        <f>'Datos Actividad'!$K53*'FE Sectorial'!$H56*'FE Sectorial'!M56/1000/1000</f>
        <v>356.13795600000003</v>
      </c>
      <c r="M57" s="17">
        <f>'Datos Actividad'!$K53*'FE Sectorial'!$H56*'FE Sectorial'!N56/1000/1000</f>
        <v>59.356326000000003</v>
      </c>
      <c r="N57" s="17">
        <f>'Datos Actividad'!$K53*'FE Sectorial'!$H56*'FE Sectorial'!O56/1000/1000</f>
        <v>0</v>
      </c>
      <c r="O57" s="87">
        <f>IF(D57&lt;400,H57+I57*'Factores generales'!$M$41+J57*'Factores generales'!$N$41,I57*'Factores generales'!$M$41+J57*'Factores generales'!$N$41)</f>
        <v>663265.3936218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Actividad'!$K54*'FE Sectorial'!$H57*'FE Sectorial'!I57*'FE Sectorial'!P57/1000</f>
        <v>12734.462169</v>
      </c>
      <c r="I58" s="17">
        <f>'Datos Actividad'!$K54*'FE Sectorial'!$H57*'FE Sectorial'!J57/1000/1000</f>
        <v>0.52077300000000004</v>
      </c>
      <c r="J58" s="17">
        <f>'Datos Actividad'!$K54*'FE Sectorial'!$H57*'FE Sectorial'!K57/1000/1000</f>
        <v>0.10415459999999999</v>
      </c>
      <c r="K58" s="17">
        <f>'Datos Actividad'!$K54*'FE Sectorial'!$H57*'FE Sectorial'!L57/1000/1000</f>
        <v>34.718199999999996</v>
      </c>
      <c r="L58" s="17">
        <f>'Datos Actividad'!$K54*'FE Sectorial'!$H57*'FE Sectorial'!M57/1000/1000</f>
        <v>1.7359100000000001</v>
      </c>
      <c r="M58" s="17">
        <f>'Datos Actividad'!$K54*'FE Sectorial'!$H57*'FE Sectorial'!N57/1000/1000</f>
        <v>0.86795500000000003</v>
      </c>
      <c r="N58" s="17">
        <f>'Datos Actividad'!$K54*'FE Sectorial'!$H57*'FE Sectorial'!O57/1000/1000</f>
        <v>6.29772</v>
      </c>
      <c r="O58" s="87">
        <f>IF(D58&lt;400,H58+I58*'Factores generales'!$M$41+J58*'Factores generales'!$N$41,I58*'Factores generales'!$M$41+J58*'Factores generales'!$N$41)</f>
        <v>12777.686328000002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Actividad'!$K55*'FE Sectorial'!$H58*'FE Sectorial'!I58*'FE Sectorial'!P58/1000</f>
        <v>135194.99114880001</v>
      </c>
      <c r="I59" s="17">
        <f>'Datos Actividad'!$K55*'FE Sectorial'!$H58*'FE Sectorial'!J58/1000/1000</f>
        <v>5.2930464000000006</v>
      </c>
      <c r="J59" s="17">
        <f>'Datos Actividad'!$K55*'FE Sectorial'!$H58*'FE Sectorial'!K58/1000/1000</f>
        <v>1.0586092800000002</v>
      </c>
      <c r="K59" s="17">
        <f>'Datos Actividad'!$K55*'FE Sectorial'!$H58*'FE Sectorial'!L58/1000/1000</f>
        <v>352.86975999999999</v>
      </c>
      <c r="L59" s="17">
        <f>'Datos Actividad'!$K55*'FE Sectorial'!$H58*'FE Sectorial'!M58/1000/1000</f>
        <v>17.643488000000001</v>
      </c>
      <c r="M59" s="17">
        <f>'Datos Actividad'!$K55*'FE Sectorial'!$H58*'FE Sectorial'!N58/1000/1000</f>
        <v>8.8217440000000007</v>
      </c>
      <c r="N59" s="17">
        <f>'Datos Actividad'!$K55*'FE Sectorial'!$H58*'FE Sectorial'!O58/1000/1000</f>
        <v>349.37599999999998</v>
      </c>
      <c r="O59" s="87">
        <f>IF(D59&lt;400,H59+I59*'Factores generales'!$M$41+J59*'Factores generales'!$N$41,I59*'Factores generales'!$M$41+J59*'Factores generales'!$N$41)</f>
        <v>135634.31399999998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Actividad'!$K56*'FE Sectorial'!$H59*'FE Sectorial'!I59*'FE Sectorial'!P59/1000</f>
        <v>1067970.1060200001</v>
      </c>
      <c r="I60" s="17">
        <f>'Datos Actividad'!$K56*'FE Sectorial'!$H59*'FE Sectorial'!J59/1000/1000</f>
        <v>368.26555380000002</v>
      </c>
      <c r="J60" s="17">
        <f>'Datos Actividad'!$K56*'FE Sectorial'!$H59*'FE Sectorial'!K59/1000/1000</f>
        <v>49.102073840000003</v>
      </c>
      <c r="K60" s="17">
        <f>'Datos Actividad'!$K56*'FE Sectorial'!$H59*'FE Sectorial'!L59/1000/1000</f>
        <v>1227.5518459999998</v>
      </c>
      <c r="L60" s="17">
        <f>'Datos Actividad'!$K56*'FE Sectorial'!$H59*'FE Sectorial'!M59/1000/1000</f>
        <v>49102.073840000005</v>
      </c>
      <c r="M60" s="17">
        <f>'Datos Actividad'!$K56*'FE Sectorial'!$H59*'FE Sectorial'!N59/1000/1000</f>
        <v>613.77592299999992</v>
      </c>
      <c r="N60" s="17">
        <f>'Datos Actividad'!$K56*'FE Sectorial'!$H59*'FE Sectorial'!O59/1000/1000</f>
        <v>0</v>
      </c>
      <c r="O60" s="87">
        <f>IF(D60&lt;400,H60+I60*'Factores generales'!$M$41+J60*'Factores generales'!$N$41,I60*'Factores generales'!$M$41+J60*'Factores generales'!$N$41)</f>
        <v>22955.2195202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Actividad'!$K57*'FE Sectorial'!$H60*'FE Sectorial'!I60*'FE Sectorial'!P60/1000</f>
        <v>460763.31974399998</v>
      </c>
      <c r="I61" s="17">
        <f>'Datos Actividad'!$K57*'FE Sectorial'!$H60*'FE Sectorial'!J60/1000/1000</f>
        <v>141.86062799999999</v>
      </c>
      <c r="J61" s="17">
        <f>'Datos Actividad'!$K57*'FE Sectorial'!$H60*'FE Sectorial'!K60/1000/1000</f>
        <v>18.914750399999996</v>
      </c>
      <c r="K61" s="17">
        <f>'Datos Actividad'!$K57*'FE Sectorial'!$H60*'FE Sectorial'!L60/1000/1000</f>
        <v>472.86875999999995</v>
      </c>
      <c r="L61" s="17">
        <f>'Datos Actividad'!$K57*'FE Sectorial'!$H60*'FE Sectorial'!M60/1000/1000</f>
        <v>9457.3751999999986</v>
      </c>
      <c r="M61" s="17">
        <f>'Datos Actividad'!$K57*'FE Sectorial'!$H60*'FE Sectorial'!N60/1000/1000</f>
        <v>236.43437999999998</v>
      </c>
      <c r="N61" s="17">
        <f>'Datos Actividad'!$K57*'FE Sectorial'!$H60*'FE Sectorial'!O60/1000/1000</f>
        <v>1212.4839999999999</v>
      </c>
      <c r="O61" s="87">
        <f>IF(D61&lt;400,H61+I61*'Factores generales'!$M$41+J61*'Factores generales'!$N$41,I61*'Factores generales'!$M$41+J61*'Factores generales'!$N$41)</f>
        <v>8842.6458119999988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Actividad'!$K58*'FE Sectorial'!$H61*'FE Sectorial'!I61*'FE Sectorial'!P61/1000</f>
        <v>621441.79361552664</v>
      </c>
      <c r="I62" s="17">
        <f>'Datos Actividad'!$K58*'FE Sectorial'!$H61*'FE Sectorial'!J61/1000/1000</f>
        <v>214.29027366052642</v>
      </c>
      <c r="J62" s="17">
        <f>'Datos Actividad'!$K58*'FE Sectorial'!$H61*'FE Sectorial'!K61/1000/1000</f>
        <v>28.572036488070189</v>
      </c>
      <c r="K62" s="17">
        <f>'Datos Actividad'!$K58*'FE Sectorial'!$H61*'FE Sectorial'!L61/1000/1000</f>
        <v>714.30091220175484</v>
      </c>
      <c r="L62" s="17">
        <f>'Datos Actividad'!$K58*'FE Sectorial'!$H61*'FE Sectorial'!M61/1000/1000</f>
        <v>28572.036488070189</v>
      </c>
      <c r="M62" s="17">
        <f>'Datos Actividad'!$K58*'FE Sectorial'!$H61*'FE Sectorial'!N61/1000/1000</f>
        <v>357.15045610087742</v>
      </c>
      <c r="N62" s="17">
        <f>'Datos Actividad'!$K58*'FE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13357.427058172814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3197573.3234206084</v>
      </c>
      <c r="I63" s="134">
        <f>SUM(I64:I69)</f>
        <v>2273.2478958045263</v>
      </c>
      <c r="J63" s="134">
        <f t="shared" ref="J63:O63" si="15">SUM(J64:J69)</f>
        <v>301.34987243580349</v>
      </c>
      <c r="K63" s="134">
        <f t="shared" si="15"/>
        <v>15973.278741135087</v>
      </c>
      <c r="L63" s="134">
        <f t="shared" si="15"/>
        <v>296868.02856372349</v>
      </c>
      <c r="M63" s="134">
        <f t="shared" si="15"/>
        <v>3976.749117487544</v>
      </c>
      <c r="N63" s="134">
        <f t="shared" si="15"/>
        <v>120.06924000000001</v>
      </c>
      <c r="O63" s="134">
        <f t="shared" si="15"/>
        <v>3338729.989687603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Actividad'!$K60*'FE Sectorial'!$H63*'FE Sectorial'!I63*'FE Sectorial'!P63/1000</f>
        <v>3148263.7491484084</v>
      </c>
      <c r="I64" s="17">
        <f>'Datos Actividad'!$K60*'FE Sectorial'!$H63*'FE Sectorial'!J63/1000/1000</f>
        <v>56.400787344000001</v>
      </c>
      <c r="J64" s="17">
        <f>'Datos Actividad'!$K60*'FE Sectorial'!$H63*'FE Sectorial'!K63/1000/1000</f>
        <v>5.6400787344000003</v>
      </c>
      <c r="K64" s="17">
        <f>'Datos Actividad'!$K60*'FE Sectorial'!$H63*'FE Sectorial'!L63/1000/1000</f>
        <v>8460.118101600001</v>
      </c>
      <c r="L64" s="17">
        <f>'Datos Actividad'!$K60*'FE Sectorial'!$H63*'FE Sectorial'!M63/1000/1000</f>
        <v>1692.0236203200002</v>
      </c>
      <c r="M64" s="17">
        <f>'Datos Actividad'!$K60*'FE Sectorial'!$H63*'FE Sectorial'!N63/1000/1000</f>
        <v>282.00393672000007</v>
      </c>
      <c r="N64" s="17">
        <f>'Datos Actividad'!$K60*'FE Sectorial'!$H63*'FE Sectorial'!O63/1000/1000</f>
        <v>0</v>
      </c>
      <c r="O64" s="87">
        <f>IF(D64&lt;400,H64+I64*'Factores generales'!$M$41+J64*'Factores generales'!$N$41,I64*'Factores generales'!$M$41+J64*'Factores generales'!$N$41)</f>
        <v>3151196.5900902967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Actividad'!$K61*'FE Sectorial'!$H64*'FE Sectorial'!I64*'FE Sectorial'!P64/1000</f>
        <v>12709.226672999997</v>
      </c>
      <c r="I65" s="17">
        <f>'Datos Actividad'!$K61*'FE Sectorial'!$H64*'FE Sectorial'!J64/1000/1000</f>
        <v>0.5197409999999999</v>
      </c>
      <c r="J65" s="17">
        <f>'Datos Actividad'!$K61*'FE Sectorial'!$H64*'FE Sectorial'!K64/1000/1000</f>
        <v>0.10394819999999999</v>
      </c>
      <c r="K65" s="17">
        <f>'Datos Actividad'!$K61*'FE Sectorial'!$H64*'FE Sectorial'!L64/1000/1000</f>
        <v>34.649399999999993</v>
      </c>
      <c r="L65" s="17">
        <f>'Datos Actividad'!$K61*'FE Sectorial'!$H64*'FE Sectorial'!M64/1000/1000</f>
        <v>1.7324699999999997</v>
      </c>
      <c r="M65" s="17">
        <f>'Datos Actividad'!$K61*'FE Sectorial'!$H64*'FE Sectorial'!N64/1000/1000</f>
        <v>0.86623499999999987</v>
      </c>
      <c r="N65" s="17">
        <f>'Datos Actividad'!$K61*'FE Sectorial'!$H64*'FE Sectorial'!O64/1000/1000</f>
        <v>6.285239999999999</v>
      </c>
      <c r="O65" s="87">
        <f>IF(D65&lt;400,H65+I65*'Factores generales'!$M$41+J65*'Factores generales'!$N$41,I65*'Factores generales'!$M$41+J65*'Factores generales'!$N$41)</f>
        <v>12752.365175999998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Actividad'!$K62*'FE Sectorial'!$H65*'FE Sectorial'!I65*'FE Sectorial'!P65/1000</f>
        <v>36600.347599200002</v>
      </c>
      <c r="I66" s="17">
        <f>'Datos Actividad'!$K62*'FE Sectorial'!$H65*'FE Sectorial'!J65/1000/1000</f>
        <v>1.4329476000000001</v>
      </c>
      <c r="J66" s="17">
        <f>'Datos Actividad'!$K62*'FE Sectorial'!$H65*'FE Sectorial'!K65/1000/1000</f>
        <v>0.28658951999999999</v>
      </c>
      <c r="K66" s="17">
        <f>'Datos Actividad'!$K62*'FE Sectorial'!$H65*'FE Sectorial'!L65/1000/1000</f>
        <v>95.529839999999993</v>
      </c>
      <c r="L66" s="17">
        <f>'Datos Actividad'!$K62*'FE Sectorial'!$H65*'FE Sectorial'!M65/1000/1000</f>
        <v>4.7764920000000002</v>
      </c>
      <c r="M66" s="17">
        <f>'Datos Actividad'!$K62*'FE Sectorial'!$H65*'FE Sectorial'!N65/1000/1000</f>
        <v>2.3882460000000001</v>
      </c>
      <c r="N66" s="17">
        <f>'Datos Actividad'!$K62*'FE Sectorial'!$H65*'FE Sectorial'!O65/1000/1000</f>
        <v>94.584000000000003</v>
      </c>
      <c r="O66" s="87">
        <f>IF(D66&lt;400,H66+I66*'Factores generales'!$M$41+J66*'Factores generales'!$N$41,I66*'Factores generales'!$M$41+J66*'Factores generales'!$N$41)</f>
        <v>36719.282249999997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Actividad'!$K63*'FE Sectorial'!$H66*'FE Sectorial'!I66*'FE Sectorial'!P66/1000</f>
        <v>6051830.60078</v>
      </c>
      <c r="I67" s="17">
        <f>'Datos Actividad'!$K63*'FE Sectorial'!$H66*'FE Sectorial'!J66/1000/1000</f>
        <v>2086.8381381999998</v>
      </c>
      <c r="J67" s="17">
        <f>'Datos Actividad'!$K63*'FE Sectorial'!$H66*'FE Sectorial'!K66/1000/1000</f>
        <v>278.24508509333333</v>
      </c>
      <c r="K67" s="17">
        <f>'Datos Actividad'!$K63*'FE Sectorial'!$H66*'FE Sectorial'!L66/1000/1000</f>
        <v>6956.1271273333332</v>
      </c>
      <c r="L67" s="17">
        <f>'Datos Actividad'!$K63*'FE Sectorial'!$H66*'FE Sectorial'!M66/1000/1000</f>
        <v>278245.08509333333</v>
      </c>
      <c r="M67" s="17">
        <f>'Datos Actividad'!$K63*'FE Sectorial'!$H66*'FE Sectorial'!N66/1000/1000</f>
        <v>3478.0635636666666</v>
      </c>
      <c r="N67" s="17">
        <f>'Datos Actividad'!$K63*'FE Sectorial'!$H66*'FE Sectorial'!O66/1000/1000</f>
        <v>0</v>
      </c>
      <c r="O67" s="87">
        <f>IF(D67&lt;400,H67+I67*'Factores generales'!$M$41+J67*'Factores generales'!$N$41,I67*'Factores generales'!$M$41+J67*'Factores generales'!$N$41)</f>
        <v>130079.57728113333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Actividad'!$K64*'FE Sectorial'!$H67*'FE Sectorial'!I67*'FE Sectorial'!P67/1000</f>
        <v>7296.3072000000002</v>
      </c>
      <c r="I68" s="17">
        <f>'Datos Actividad'!$K64*'FE Sectorial'!$H67*'FE Sectorial'!J67/1000/1000</f>
        <v>2.2464</v>
      </c>
      <c r="J68" s="17">
        <f>'Datos Actividad'!$K64*'FE Sectorial'!$H67*'FE Sectorial'!K67/1000/1000</f>
        <v>0.29952000000000001</v>
      </c>
      <c r="K68" s="17">
        <f>'Datos Actividad'!$K64*'FE Sectorial'!$H67*'FE Sectorial'!L67/1000/1000</f>
        <v>7.4880000000000004</v>
      </c>
      <c r="L68" s="17">
        <f>'Datos Actividad'!$K64*'FE Sectorial'!$H67*'FE Sectorial'!M67/1000/1000</f>
        <v>149.76</v>
      </c>
      <c r="M68" s="17">
        <f>'Datos Actividad'!$K64*'FE Sectorial'!$H67*'FE Sectorial'!N67/1000/1000</f>
        <v>3.7440000000000002</v>
      </c>
      <c r="N68" s="17">
        <f>'Datos Actividad'!$K64*'FE Sectorial'!$H67*'FE Sectorial'!O67/1000/1000</f>
        <v>19.2</v>
      </c>
      <c r="O68" s="87">
        <f>IF(D68&lt;400,H68+I68*'Factores generales'!$M$41+J68*'Factores generales'!$N$41,I68*'Factores generales'!$M$41+J68*'Factores generales'!$N$41)</f>
        <v>140.0256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Actividad'!$K65*'FE Sectorial'!$H68*'FE Sectorial'!I68*'FE Sectorial'!P68/1000</f>
        <v>364848.65681552666</v>
      </c>
      <c r="I69" s="17">
        <f>'Datos Actividad'!$K65*'FE Sectorial'!$H68*'FE Sectorial'!J68/1000/1000</f>
        <v>125.80988166052644</v>
      </c>
      <c r="J69" s="17">
        <f>'Datos Actividad'!$K65*'FE Sectorial'!$H68*'FE Sectorial'!K68/1000/1000</f>
        <v>16.774650888070191</v>
      </c>
      <c r="K69" s="17">
        <f>'Datos Actividad'!$K65*'FE Sectorial'!$H68*'FE Sectorial'!L68/1000/1000</f>
        <v>419.36627220175478</v>
      </c>
      <c r="L69" s="17">
        <f>'Datos Actividad'!$K65*'FE Sectorial'!$H68*'FE Sectorial'!M68/1000/1000</f>
        <v>16774.650888070191</v>
      </c>
      <c r="M69" s="17">
        <f>'Datos Actividad'!$K65*'FE Sectorial'!$H68*'FE Sectorial'!N68/1000/1000</f>
        <v>209.68313610087739</v>
      </c>
      <c r="N69" s="17">
        <f>'Datos Actividad'!$K65*'FE Sectorial'!$H68*'FE Sectorial'!O68/1000/1000</f>
        <v>0</v>
      </c>
      <c r="O69" s="87">
        <f>IF(D69&lt;400,H69+I69*'Factores generales'!$M$41+J69*'Factores generales'!$N$41,I69*'Factores generales'!$M$41+J69*'Factores generales'!$N$41)</f>
        <v>7842.1492901728143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11611260.818091562</v>
      </c>
      <c r="I70" s="134">
        <f t="shared" si="16"/>
        <v>608.72224655370724</v>
      </c>
      <c r="J70" s="134">
        <f t="shared" si="16"/>
        <v>94.597080522095666</v>
      </c>
      <c r="K70" s="134">
        <f t="shared" si="16"/>
        <v>32449.00019835581</v>
      </c>
      <c r="L70" s="134">
        <f t="shared" si="16"/>
        <v>36392.692055506064</v>
      </c>
      <c r="M70" s="134">
        <f t="shared" si="16"/>
        <v>1734.15194163565</v>
      </c>
      <c r="N70" s="134">
        <f t="shared" si="16"/>
        <v>4969.9924898379995</v>
      </c>
      <c r="O70" s="134">
        <f t="shared" si="16"/>
        <v>11653369.080231039</v>
      </c>
    </row>
    <row r="71" spans="1:15" outlineLevel="1" x14ac:dyDescent="0.25">
      <c r="B71" s="1" t="s">
        <v>36</v>
      </c>
      <c r="G71" s="1"/>
      <c r="H71" s="15">
        <f>H72+H73+H74+H76</f>
        <v>3764282.0935408273</v>
      </c>
      <c r="I71" s="15">
        <f>SUM(I72:I76)</f>
        <v>196.45330966766136</v>
      </c>
      <c r="J71" s="15">
        <f t="shared" ref="J71:O71" si="17">SUM(J72:J76)</f>
        <v>38.670777282326782</v>
      </c>
      <c r="K71" s="15">
        <f t="shared" si="17"/>
        <v>11016.975278524487</v>
      </c>
      <c r="L71" s="15">
        <f t="shared" si="17"/>
        <v>12130.832389251809</v>
      </c>
      <c r="M71" s="15">
        <f t="shared" si="17"/>
        <v>682.63807704540056</v>
      </c>
      <c r="N71" s="15">
        <f t="shared" si="17"/>
        <v>1166.1736713043481</v>
      </c>
      <c r="O71" s="15">
        <f t="shared" si="17"/>
        <v>3780395.55400137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Actividad'!$K68*'FE Sectorial'!$H71*'FE Sectorial'!I71*'FE Sectorial'!P71/1000</f>
        <v>2774553.1522782482</v>
      </c>
      <c r="I72" s="17">
        <f>'Datos Actividad'!$K68*'FE Sectorial'!$H71*'FE Sectorial'!J71/1000/1000</f>
        <v>49.705804464000003</v>
      </c>
      <c r="J72" s="17">
        <f>'Datos Actividad'!$K68*'FE Sectorial'!$H71*'FE Sectorial'!K71/1000/1000</f>
        <v>4.9705804464000014</v>
      </c>
      <c r="K72" s="17">
        <f>'Datos Actividad'!$K68*'FE Sectorial'!$H71*'FE Sectorial'!L71/1000/1000</f>
        <v>7455.8706696000008</v>
      </c>
      <c r="L72" s="17">
        <f>'Datos Actividad'!$K68*'FE Sectorial'!$H71*'FE Sectorial'!M71/1000/1000</f>
        <v>1491.1741339200003</v>
      </c>
      <c r="M72" s="17">
        <f>'Datos Actividad'!$K68*'FE Sectorial'!$H71*'FE Sectorial'!N71/1000/1000</f>
        <v>248.52902232</v>
      </c>
      <c r="N72" s="17">
        <f>'Datos Actividad'!$K68*'FE Sectorial'!$H71*'FE Sectorial'!O71/1000/1000</f>
        <v>0</v>
      </c>
      <c r="O72" s="87">
        <f>IF(D72&lt;400,H72+I72*'Factores generales'!$M$41+J72*'Factores generales'!$N$41,I72*'Factores generales'!$M$41+J72*'Factores generales'!$N$41)</f>
        <v>2777137.8541103764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Actividad'!$K69*'FE Sectorial'!$H72*'FE Sectorial'!I72*'FE Sectorial'!P72/1000</f>
        <v>1933.6698809999998</v>
      </c>
      <c r="I73" s="17">
        <f>'Datos Actividad'!$K69*'FE Sectorial'!$H72*'FE Sectorial'!J72/1000/1000</f>
        <v>7.9076999999999995E-2</v>
      </c>
      <c r="J73" s="17">
        <f>'Datos Actividad'!$K69*'FE Sectorial'!$H72*'FE Sectorial'!K72/1000/1000</f>
        <v>1.58154E-2</v>
      </c>
      <c r="K73" s="17">
        <f>'Datos Actividad'!$K69*'FE Sectorial'!$H72*'FE Sectorial'!L72/1000/1000</f>
        <v>5.2717999999999998</v>
      </c>
      <c r="L73" s="17">
        <f>'Datos Actividad'!$K69*'FE Sectorial'!$H72*'FE Sectorial'!M72/1000/1000</f>
        <v>0.26358999999999999</v>
      </c>
      <c r="M73" s="17">
        <f>'Datos Actividad'!$K69*'FE Sectorial'!$H72*'FE Sectorial'!N72/1000/1000</f>
        <v>0.131795</v>
      </c>
      <c r="N73" s="17">
        <f>'Datos Actividad'!$K69*'FE Sectorial'!$H72*'FE Sectorial'!O72/1000/1000</f>
        <v>0.95628000000000002</v>
      </c>
      <c r="O73" s="87">
        <f>IF(D73&lt;400,H73+I73*'Factores generales'!$M$41+J73*'Factores generales'!$N$41,I73*'Factores generales'!$M$41+J73*'Factores generales'!$N$41)</f>
        <v>1940.2332719999997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Actividad'!$K70*'FE Sectorial'!$H73*'FE Sectorial'!I73*'FE Sectorial'!P73/1000</f>
        <v>987795.27138157899</v>
      </c>
      <c r="I74" s="17">
        <f>'Datos Actividad'!$K70*'FE Sectorial'!$H73*'FE Sectorial'!J73/1000/1000</f>
        <v>10.337993421052634</v>
      </c>
      <c r="J74" s="17">
        <f>'Datos Actividad'!$K70*'FE Sectorial'!$H73*'FE Sectorial'!K73/1000/1000</f>
        <v>15.506990131578952</v>
      </c>
      <c r="K74" s="17">
        <f>'Datos Actividad'!$K70*'FE Sectorial'!$H73*'FE Sectorial'!L73/1000/1000</f>
        <v>3101.3980263157896</v>
      </c>
      <c r="L74" s="17">
        <f>'Datos Actividad'!$K70*'FE Sectorial'!$H73*'FE Sectorial'!M73/1000/1000</f>
        <v>1550.6990131578948</v>
      </c>
      <c r="M74" s="17">
        <f>'Datos Actividad'!$K70*'FE Sectorial'!$H73*'FE Sectorial'!N73/1000/1000</f>
        <v>206.75986842105266</v>
      </c>
      <c r="N74" s="17">
        <f>'Datos Actividad'!$K70*'FE Sectorial'!$H73*'FE Sectorial'!O73/1000/1000</f>
        <v>0</v>
      </c>
      <c r="O74" s="87">
        <f>IF(D74&lt;400,H74+I74*'Factores generales'!$M$41+J74*'Factores generales'!$N$41,I74*'Factores generales'!$M$41+J74*'Factores generales'!$N$41)</f>
        <v>992819.53618421056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Actividad'!$K71*'FE Sectorial'!$H74*'FE Sectorial'!I74*'FE Sectorial'!P74/1000</f>
        <v>442801.25217391306</v>
      </c>
      <c r="I75" s="17">
        <f>'Datos Actividad'!$K71*'FE Sectorial'!$H74*'FE Sectorial'!J74/1000/1000</f>
        <v>136.33043478260871</v>
      </c>
      <c r="J75" s="17">
        <f>'Datos Actividad'!$K71*'FE Sectorial'!$H74*'FE Sectorial'!K74/1000/1000</f>
        <v>18.177391304347829</v>
      </c>
      <c r="K75" s="17">
        <f>'Datos Actividad'!$K71*'FE Sectorial'!$H74*'FE Sectorial'!L74/1000/1000</f>
        <v>454.43478260869568</v>
      </c>
      <c r="L75" s="17">
        <f>'Datos Actividad'!$K71*'FE Sectorial'!$H74*'FE Sectorial'!M74/1000/1000</f>
        <v>9088.6956521739139</v>
      </c>
      <c r="M75" s="17">
        <f>'Datos Actividad'!$K71*'FE Sectorial'!$H74*'FE Sectorial'!N74/1000/1000</f>
        <v>227.21739130434784</v>
      </c>
      <c r="N75" s="17">
        <f>'Datos Actividad'!$K71*'FE Sectorial'!$H74*'FE Sectorial'!O74/1000/1000</f>
        <v>1165.217391304348</v>
      </c>
      <c r="O75" s="87">
        <f>IF(D75&lt;400,H75+I75*'Factores generales'!$M$41+J75*'Factores generales'!$N$41,I75*'Factores generales'!$M$41+J75*'Factores generales'!$N$41)</f>
        <v>8497.930434782611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Actividad'!$K72*'FE Sectorial'!$H75*'FE Sectorial'!I75*'FE Sectorial'!P75/1000</f>
        <v>0</v>
      </c>
      <c r="I76" s="17">
        <f>'Datos Actividad'!$K72*'FE Sectorial'!$H75*'FE Sectorial'!J75/1000/1000</f>
        <v>0</v>
      </c>
      <c r="J76" s="17">
        <f>'Datos Actividad'!$K72*'FE Sectorial'!$H75*'FE Sectorial'!K75/1000/1000</f>
        <v>0</v>
      </c>
      <c r="K76" s="17">
        <f>'Datos Actividad'!$K72*'FE Sectorial'!$H75*'FE Sectorial'!L75/1000/1000</f>
        <v>0</v>
      </c>
      <c r="L76" s="17">
        <f>'Datos Actividad'!$K72*'FE Sectorial'!$H75*'FE Sectorial'!M75/1000/1000</f>
        <v>0</v>
      </c>
      <c r="M76" s="17">
        <f>'Datos Actividad'!$K72*'FE Sectorial'!$H75*'FE Sectorial'!N75/1000/1000</f>
        <v>0</v>
      </c>
      <c r="N76" s="17">
        <f>'Datos Actividad'!$K72*'FE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115125.944696928</v>
      </c>
      <c r="I77" s="15">
        <f t="shared" si="18"/>
        <v>2.1230687039999996</v>
      </c>
      <c r="J77" s="15">
        <f t="shared" si="18"/>
        <v>0.22309127040000001</v>
      </c>
      <c r="K77" s="15">
        <f t="shared" si="18"/>
        <v>309.47330559999995</v>
      </c>
      <c r="L77" s="15">
        <f t="shared" si="18"/>
        <v>60.816221119999987</v>
      </c>
      <c r="M77" s="15">
        <f t="shared" si="18"/>
        <v>10.255863519999998</v>
      </c>
      <c r="N77" s="15">
        <f t="shared" si="18"/>
        <v>1.30416</v>
      </c>
      <c r="O77" s="15">
        <f t="shared" si="18"/>
        <v>115239.68743353599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Actividad'!$K74*'FE Sectorial'!$H77*'FE Sectorial'!I77*'FE Sectorial'!P77/1000</f>
        <v>112488.83536492799</v>
      </c>
      <c r="I78" s="17">
        <f>'Datos Actividad'!$K74*'FE Sectorial'!$H77*'FE Sectorial'!J77/1000/1000</f>
        <v>2.0152247039999995</v>
      </c>
      <c r="J78" s="17">
        <f>'Datos Actividad'!$K74*'FE Sectorial'!$H77*'FE Sectorial'!K77/1000/1000</f>
        <v>0.20152247040000001</v>
      </c>
      <c r="K78" s="17">
        <f>'Datos Actividad'!$K74*'FE Sectorial'!$H77*'FE Sectorial'!L77/1000/1000</f>
        <v>302.28370559999996</v>
      </c>
      <c r="L78" s="17">
        <f>'Datos Actividad'!$K74*'FE Sectorial'!$H77*'FE Sectorial'!M77/1000/1000</f>
        <v>60.45674111999999</v>
      </c>
      <c r="M78" s="17">
        <f>'Datos Actividad'!$K74*'FE Sectorial'!$H77*'FE Sectorial'!N77/1000/1000</f>
        <v>10.076123519999998</v>
      </c>
      <c r="N78" s="17">
        <f>'Datos Actividad'!$K74*'FE Sectorial'!$H77*'FE Sectorial'!O77/1000/1000</f>
        <v>0</v>
      </c>
      <c r="O78" s="87">
        <f>IF(D78&lt;400,H78+I78*'Factores generales'!$M$41+J78*'Factores generales'!$N$41,I78*'Factores generales'!$M$41+J78*'Factores generales'!$N$41)</f>
        <v>112593.62704953599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Actividad'!$K75*'FE Sectorial'!$H78*'FE Sectorial'!I78*'FE Sectorial'!P78/1000</f>
        <v>2637.109332</v>
      </c>
      <c r="I79" s="17">
        <f>'Datos Actividad'!$K75*'FE Sectorial'!$H78*'FE Sectorial'!J78/1000/1000</f>
        <v>0.107844</v>
      </c>
      <c r="J79" s="17">
        <f>'Datos Actividad'!$K75*'FE Sectorial'!$H78*'FE Sectorial'!K78/1000/1000</f>
        <v>2.1568799999999999E-2</v>
      </c>
      <c r="K79" s="17">
        <f>'Datos Actividad'!$K75*'FE Sectorial'!$H78*'FE Sectorial'!L78/1000/1000</f>
        <v>7.1896000000000004</v>
      </c>
      <c r="L79" s="17">
        <f>'Datos Actividad'!$K75*'FE Sectorial'!$H78*'FE Sectorial'!M78/1000/1000</f>
        <v>0.35948000000000002</v>
      </c>
      <c r="M79" s="17">
        <f>'Datos Actividad'!$K75*'FE Sectorial'!$H78*'FE Sectorial'!N78/1000/1000</f>
        <v>0.17974000000000001</v>
      </c>
      <c r="N79" s="17">
        <f>'Datos Actividad'!$K75*'FE Sectorial'!$H78*'FE Sectorial'!O78/1000/1000</f>
        <v>1.30416</v>
      </c>
      <c r="O79" s="87">
        <f>IF(D79&lt;400,H79+I79*'Factores generales'!$M$41+J79*'Factores generales'!$N$41,I79*'Factores generales'!$M$41+J79*'Factores generales'!$N$41)</f>
        <v>2646.0603839999999</v>
      </c>
    </row>
    <row r="80" spans="1:15" outlineLevel="1" x14ac:dyDescent="0.25">
      <c r="B80" s="1" t="s">
        <v>37</v>
      </c>
      <c r="G80" s="1"/>
      <c r="H80" s="15">
        <f>SUM(H81:H83)</f>
        <v>62593.181356463996</v>
      </c>
      <c r="I80" s="15">
        <f>SUM(I81:I85)</f>
        <v>235.22210401252642</v>
      </c>
      <c r="J80" s="15">
        <f t="shared" ref="J80:O80" si="19">SUM(J81:J85)</f>
        <v>31.349870123270193</v>
      </c>
      <c r="K80" s="15">
        <f t="shared" si="19"/>
        <v>948.26400500175475</v>
      </c>
      <c r="L80" s="15">
        <f t="shared" si="19"/>
        <v>20748.240718630193</v>
      </c>
      <c r="M80" s="15">
        <f t="shared" si="19"/>
        <v>395.33802786087739</v>
      </c>
      <c r="N80" s="15">
        <f t="shared" si="19"/>
        <v>1346.3720799999999</v>
      </c>
      <c r="O80" s="15">
        <f t="shared" si="19"/>
        <v>77251.30527894081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Actividad'!$K77*'FE Sectorial'!$H80*'FE Sectorial'!I80*'FE Sectorial'!P80/1000</f>
        <v>55281.196390464</v>
      </c>
      <c r="I81" s="17">
        <f>'Datos Actividad'!$K77*'FE Sectorial'!$H80*'FE Sectorial'!J80/1000/1000</f>
        <v>0.99035635199999994</v>
      </c>
      <c r="J81" s="17">
        <f>'Datos Actividad'!$K77*'FE Sectorial'!$H80*'FE Sectorial'!K80/1000/1000</f>
        <v>9.90356352E-2</v>
      </c>
      <c r="K81" s="17">
        <f>'Datos Actividad'!$K77*'FE Sectorial'!$H80*'FE Sectorial'!L80/1000/1000</f>
        <v>148.55345279999997</v>
      </c>
      <c r="L81" s="17">
        <f>'Datos Actividad'!$K77*'FE Sectorial'!$H80*'FE Sectorial'!M80/1000/1000</f>
        <v>29.71069056</v>
      </c>
      <c r="M81" s="17">
        <f>'Datos Actividad'!$K77*'FE Sectorial'!$H80*'FE Sectorial'!N80/1000/1000</f>
        <v>4.9517817600000003</v>
      </c>
      <c r="N81" s="17">
        <f>'Datos Actividad'!$K77*'FE Sectorial'!$H80*'FE Sectorial'!O80/1000/1000</f>
        <v>0</v>
      </c>
      <c r="O81" s="87">
        <f>IF(D81&lt;400,H81+I81*'Factores generales'!$M$41+J81*'Factores generales'!$N$41,I81*'Factores generales'!$M$41+J81*'Factores generales'!$N$41)</f>
        <v>55332.694920768001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Actividad'!$K78*'FE Sectorial'!$H81*'FE Sectorial'!I81*'FE Sectorial'!P81/1000</f>
        <v>7311.9849659999991</v>
      </c>
      <c r="I82" s="17">
        <f>'Datos Actividad'!$K78*'FE Sectorial'!$H81*'FE Sectorial'!J81/1000/1000</f>
        <v>0.29902200000000001</v>
      </c>
      <c r="J82" s="17">
        <f>'Datos Actividad'!$K78*'FE Sectorial'!$H81*'FE Sectorial'!K81/1000/1000</f>
        <v>5.9804399999999994E-2</v>
      </c>
      <c r="K82" s="17">
        <f>'Datos Actividad'!$K78*'FE Sectorial'!$H81*'FE Sectorial'!L81/1000/1000</f>
        <v>19.934799999999999</v>
      </c>
      <c r="L82" s="17">
        <f>'Datos Actividad'!$K78*'FE Sectorial'!$H81*'FE Sectorial'!M81/1000/1000</f>
        <v>0.99673999999999996</v>
      </c>
      <c r="M82" s="17">
        <f>'Datos Actividad'!$K78*'FE Sectorial'!$H81*'FE Sectorial'!N81/1000/1000</f>
        <v>0.49836999999999998</v>
      </c>
      <c r="N82" s="17">
        <f>'Datos Actividad'!$K78*'FE Sectorial'!$H81*'FE Sectorial'!O81/1000/1000</f>
        <v>3.6160799999999997</v>
      </c>
      <c r="O82" s="87">
        <f>IF(D82&lt;400,H82+I82*'Factores generales'!$M$41+J82*'Factores generales'!$N$41,I82*'Factores generales'!$M$41+J82*'Factores generales'!$N$41)</f>
        <v>7336.8037919999997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Actividad'!$K79*'FE Sectorial'!$H82*'FE Sectorial'!I82*'FE Sectorial'!P82/1000</f>
        <v>0</v>
      </c>
      <c r="I83" s="95">
        <f>'Datos Actividad'!$K79*'FE Sectorial'!$H82*'FE Sectorial'!J82/1000/1000</f>
        <v>0</v>
      </c>
      <c r="J83" s="17">
        <f>'Datos Actividad'!$K79*'FE Sectorial'!$H82*'FE Sectorial'!K82/1000/1000</f>
        <v>0</v>
      </c>
      <c r="K83" s="17">
        <f>'Datos Actividad'!$K79*'FE Sectorial'!$H82*'FE Sectorial'!L82/1000/1000</f>
        <v>0</v>
      </c>
      <c r="L83" s="17">
        <f>'Datos Actividad'!$K79*'FE Sectorial'!$H82*'FE Sectorial'!M82/1000/1000</f>
        <v>0</v>
      </c>
      <c r="M83" s="17">
        <f>'Datos Actividad'!$K79*'FE Sectorial'!$H82*'FE Sectorial'!N82/1000/1000</f>
        <v>0</v>
      </c>
      <c r="N83" s="17">
        <f>'Datos Actividad'!$K79*'FE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Actividad'!$K80*'FE Sectorial'!$H83*'FE Sectorial'!I83*'FE Sectorial'!P83/1000</f>
        <v>510268.76409599994</v>
      </c>
      <c r="I84" s="95">
        <f>'Datos Actividad'!$K80*'FE Sectorial'!$H83*'FE Sectorial'!J83/1000/1000</f>
        <v>157.10245199999997</v>
      </c>
      <c r="J84" s="17">
        <f>'Datos Actividad'!$K80*'FE Sectorial'!$H83*'FE Sectorial'!K83/1000/1000</f>
        <v>20.946993599999999</v>
      </c>
      <c r="K84" s="17">
        <f>'Datos Actividad'!$K80*'FE Sectorial'!$H83*'FE Sectorial'!L83/1000/1000</f>
        <v>523.67484000000002</v>
      </c>
      <c r="L84" s="17">
        <f>'Datos Actividad'!$K80*'FE Sectorial'!$H83*'FE Sectorial'!M83/1000/1000</f>
        <v>10473.496799999999</v>
      </c>
      <c r="M84" s="17">
        <f>'Datos Actividad'!$K80*'FE Sectorial'!$H83*'FE Sectorial'!N83/1000/1000</f>
        <v>261.83742000000001</v>
      </c>
      <c r="N84" s="17">
        <f>'Datos Actividad'!$K80*'FE Sectorial'!$H83*'FE Sectorial'!O83/1000/1000</f>
        <v>1342.7559999999999</v>
      </c>
      <c r="O84" s="87">
        <f>IF(D84&lt;400,H84+I84*'Factores generales'!$M$41+J84*'Factores generales'!$N$41,I84*'Factores generales'!$M$41+J84*'Factores generales'!$N$41)</f>
        <v>9792.7195079999983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Actividad'!$K81*'FE Sectorial'!$H84*'FE Sectorial'!I84*'FE Sectorial'!P84/1000</f>
        <v>222807.79361552667</v>
      </c>
      <c r="I85" s="95">
        <f>'Datos Actividad'!$K81*'FE Sectorial'!$H84*'FE Sectorial'!J84/1000/1000</f>
        <v>76.83027366052643</v>
      </c>
      <c r="J85" s="17">
        <f>'Datos Actividad'!$K81*'FE Sectorial'!$H84*'FE Sectorial'!K84/1000/1000</f>
        <v>10.244036488070194</v>
      </c>
      <c r="K85" s="17">
        <f>'Datos Actividad'!$K81*'FE Sectorial'!$H84*'FE Sectorial'!L84/1000/1000</f>
        <v>256.1009122017548</v>
      </c>
      <c r="L85" s="17">
        <f>'Datos Actividad'!$K81*'FE Sectorial'!$H84*'FE Sectorial'!M84/1000/1000</f>
        <v>10244.036488070193</v>
      </c>
      <c r="M85" s="17">
        <f>'Datos Actividad'!$K81*'FE Sectorial'!$H84*'FE Sectorial'!N84/1000/1000</f>
        <v>128.0504561008774</v>
      </c>
      <c r="N85" s="17">
        <f>'Datos Actividad'!$K81*'FE Sectorial'!$H84*'FE Sectorial'!O84/1000/1000</f>
        <v>0</v>
      </c>
      <c r="O85" s="87">
        <f>IF(D85&lt;400,H85+I85*'Factores generales'!$M$41+J85*'Factores generales'!$N$41,I85*'Factores generales'!$M$41+J85*'Factores generales'!$N$41)</f>
        <v>4789.087058172815</v>
      </c>
    </row>
    <row r="86" spans="2:15" outlineLevel="1" x14ac:dyDescent="0.25">
      <c r="B86" s="1" t="s">
        <v>38</v>
      </c>
      <c r="G86" s="1"/>
      <c r="H86" s="15">
        <f>H87+H88</f>
        <v>268393.20458227204</v>
      </c>
      <c r="I86" s="15">
        <f>I87+I88+I89</f>
        <v>4.8265008959999998</v>
      </c>
      <c r="J86" s="15">
        <f t="shared" ref="J86:O86" si="20">J87+J88+J89</f>
        <v>0.48590088960000005</v>
      </c>
      <c r="K86" s="15">
        <f t="shared" si="20"/>
        <v>721.26613440000006</v>
      </c>
      <c r="L86" s="15">
        <f t="shared" si="20"/>
        <v>143.92814688000001</v>
      </c>
      <c r="M86" s="15">
        <f t="shared" si="20"/>
        <v>24.024144479999993</v>
      </c>
      <c r="N86" s="15">
        <f t="shared" si="20"/>
        <v>0.39312000000000008</v>
      </c>
      <c r="O86" s="15">
        <f t="shared" si="20"/>
        <v>268645.19037686399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Actividad'!$K83*'FE Sectorial'!$H86*'FE Sectorial'!I86*'FE Sectorial'!P86/1000</f>
        <v>267598.28645827202</v>
      </c>
      <c r="I87" s="17">
        <f>'Datos Actividad'!$K83*'FE Sectorial'!$H86*'FE Sectorial'!J86/1000/1000</f>
        <v>4.7939928959999998</v>
      </c>
      <c r="J87" s="17">
        <f>'Datos Actividad'!$K83*'FE Sectorial'!$H86*'FE Sectorial'!K86/1000/1000</f>
        <v>0.47939928960000006</v>
      </c>
      <c r="K87" s="17">
        <f>'Datos Actividad'!$K83*'FE Sectorial'!$H86*'FE Sectorial'!L86/1000/1000</f>
        <v>719.09893440000008</v>
      </c>
      <c r="L87" s="17">
        <f>'Datos Actividad'!$K83*'FE Sectorial'!$H86*'FE Sectorial'!M86/1000/1000</f>
        <v>143.81978688000001</v>
      </c>
      <c r="M87" s="17">
        <f>'Datos Actividad'!$K83*'FE Sectorial'!$H86*'FE Sectorial'!N86/1000/1000</f>
        <v>23.969964479999994</v>
      </c>
      <c r="N87" s="17">
        <f>'Datos Actividad'!$K83*'FE Sectorial'!$H86*'FE Sectorial'!O86/1000/1000</f>
        <v>0</v>
      </c>
      <c r="O87" s="87">
        <f>IF(D87&lt;400,H87+I87*'Factores generales'!$M$41+J87*'Factores generales'!$N$41,I87*'Factores generales'!$M$41+J87*'Factores generales'!$N$41)</f>
        <v>267847.57408886397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Actividad'!$K84*'FE Sectorial'!$H87*'FE Sectorial'!I87*'FE Sectorial'!P87/1000</f>
        <v>794.91812400000003</v>
      </c>
      <c r="I88" s="17">
        <f>'Datos Actividad'!$K84*'FE Sectorial'!$H87*'FE Sectorial'!J87/1000/1000</f>
        <v>3.2508000000000009E-2</v>
      </c>
      <c r="J88" s="17">
        <f>'Datos Actividad'!$K84*'FE Sectorial'!$H87*'FE Sectorial'!K87/1000/1000</f>
        <v>6.5016000000000015E-3</v>
      </c>
      <c r="K88" s="17">
        <f>'Datos Actividad'!$K84*'FE Sectorial'!$H87*'FE Sectorial'!L87/1000/1000</f>
        <v>2.1672000000000002</v>
      </c>
      <c r="L88" s="17">
        <f>'Datos Actividad'!$K84*'FE Sectorial'!$H87*'FE Sectorial'!M87/1000/1000</f>
        <v>0.10836000000000001</v>
      </c>
      <c r="M88" s="17">
        <f>'Datos Actividad'!$K84*'FE Sectorial'!$H87*'FE Sectorial'!N87/1000/1000</f>
        <v>5.4180000000000006E-2</v>
      </c>
      <c r="N88" s="17">
        <f>'Datos Actividad'!$K84*'FE Sectorial'!$H87*'FE Sectorial'!O87/1000/1000</f>
        <v>0.39312000000000008</v>
      </c>
      <c r="O88" s="87">
        <f>IF(D88&lt;400,H88+I88*'Factores generales'!$M$41+J88*'Factores generales'!$N$41,I88*'Factores generales'!$M$41+J88*'Factores generales'!$N$41)</f>
        <v>797.61628800000005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Actividad'!$K85*'FE Sectorial'!$H88*'FE Sectorial'!I88*'FE Sectorial'!P88/1000</f>
        <v>0</v>
      </c>
      <c r="I89" s="95">
        <f>'Datos Actividad'!$K85*'FE Sectorial'!$H88*'FE Sectorial'!J88/1000/1000</f>
        <v>0</v>
      </c>
      <c r="J89" s="17">
        <f>'Datos Actividad'!$K85*'FE Sectorial'!$H88*'FE Sectorial'!K88/1000/1000</f>
        <v>0</v>
      </c>
      <c r="K89" s="17">
        <f>'Datos Actividad'!$K85*'FE Sectorial'!$H88*'FE Sectorial'!L88/1000/1000</f>
        <v>0</v>
      </c>
      <c r="L89" s="17">
        <f>'Datos Actividad'!$K85*'FE Sectorial'!$H88*'FE Sectorial'!M88/1000/1000</f>
        <v>0</v>
      </c>
      <c r="M89" s="17">
        <f>'Datos Actividad'!$K85*'FE Sectorial'!$H88*'FE Sectorial'!N88/1000/1000</f>
        <v>0</v>
      </c>
      <c r="N89" s="17">
        <f>'Datos Actividad'!$K85*'FE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5301432.9229055038</v>
      </c>
      <c r="I90" s="15">
        <f t="shared" si="21"/>
        <v>97.033755071999991</v>
      </c>
      <c r="J90" s="15">
        <f t="shared" si="21"/>
        <v>10.070716627199999</v>
      </c>
      <c r="K90" s="15">
        <f t="shared" si="21"/>
        <v>14248.945660799998</v>
      </c>
      <c r="L90" s="15">
        <f t="shared" si="21"/>
        <v>2813.0550201599995</v>
      </c>
      <c r="M90" s="15">
        <f t="shared" si="21"/>
        <v>472.92407135999997</v>
      </c>
      <c r="N90" s="15">
        <f t="shared" si="21"/>
        <v>58.249279999999999</v>
      </c>
      <c r="O90" s="15">
        <f t="shared" si="21"/>
        <v>5306592.5539164478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Actividad'!$K87*'FE Sectorial'!$H90*'FE Sectorial'!I90*'FE Sectorial'!P90/1000</f>
        <v>5211327.714763104</v>
      </c>
      <c r="I91" s="17">
        <f>'Datos Actividad'!$K87*'FE Sectorial'!$H90*'FE Sectorial'!J90/1000/1000</f>
        <v>93.360343872000001</v>
      </c>
      <c r="J91" s="17">
        <f>'Datos Actividad'!$K87*'FE Sectorial'!$H90*'FE Sectorial'!K90/1000/1000</f>
        <v>9.3360343871999998</v>
      </c>
      <c r="K91" s="17">
        <f>'Datos Actividad'!$K87*'FE Sectorial'!$H90*'FE Sectorial'!L90/1000/1000</f>
        <v>14004.051580799998</v>
      </c>
      <c r="L91" s="17">
        <f>'Datos Actividad'!$K87*'FE Sectorial'!$H90*'FE Sectorial'!M90/1000/1000</f>
        <v>2800.8103161599997</v>
      </c>
      <c r="M91" s="17">
        <f>'Datos Actividad'!$K87*'FE Sectorial'!$H90*'FE Sectorial'!N90/1000/1000</f>
        <v>466.80171935999994</v>
      </c>
      <c r="N91" s="17">
        <f>'Datos Actividad'!$K87*'FE Sectorial'!$H90*'FE Sectorial'!O90/1000/1000</f>
        <v>0</v>
      </c>
      <c r="O91" s="87">
        <f>IF(D91&lt;400,H91+I91*'Factores generales'!$M$41+J91*'Factores generales'!$N$41,I91*'Factores generales'!$M$41+J91*'Factores generales'!$N$41)</f>
        <v>5216182.4526444478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Actividad'!$K88*'FE Sectorial'!$H91*'FE Sectorial'!I91*'FE Sectorial'!P91/1000</f>
        <v>83554.727255999998</v>
      </c>
      <c r="I92" s="17">
        <f>'Datos Actividad'!$K88*'FE Sectorial'!$H91*'FE Sectorial'!J91/1000/1000</f>
        <v>3.4169520000000002</v>
      </c>
      <c r="J92" s="17">
        <f>'Datos Actividad'!$K88*'FE Sectorial'!$H91*'FE Sectorial'!K91/1000/1000</f>
        <v>0.68339039999999995</v>
      </c>
      <c r="K92" s="17">
        <f>'Datos Actividad'!$K88*'FE Sectorial'!$H91*'FE Sectorial'!L91/1000/1000</f>
        <v>227.79679999999999</v>
      </c>
      <c r="L92" s="17">
        <f>'Datos Actividad'!$K88*'FE Sectorial'!$H91*'FE Sectorial'!M91/1000/1000</f>
        <v>11.38984</v>
      </c>
      <c r="M92" s="17">
        <f>'Datos Actividad'!$K88*'FE Sectorial'!$H91*'FE Sectorial'!N91/1000/1000</f>
        <v>5.6949199999999998</v>
      </c>
      <c r="N92" s="17">
        <f>'Datos Actividad'!$K88*'FE Sectorial'!$H91*'FE Sectorial'!O91/1000/1000</f>
        <v>41.321280000000002</v>
      </c>
      <c r="O92" s="87">
        <f>IF(D92&lt;400,H92+I92*'Factores generales'!$M$41+J92*'Factores generales'!$N$41,I92*'Factores generales'!$M$41+J92*'Factores generales'!$N$41)</f>
        <v>83838.334272000007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Actividad'!$K89*'FE Sectorial'!$H92*'FE Sectorial'!I92*'FE Sectorial'!P92/1000</f>
        <v>6550.4808864000006</v>
      </c>
      <c r="I93" s="17">
        <f>'Datos Actividad'!$K89*'FE Sectorial'!$H92*'FE Sectorial'!J92/1000/1000</f>
        <v>0.2564592</v>
      </c>
      <c r="J93" s="17">
        <f>'Datos Actividad'!$K89*'FE Sectorial'!$H92*'FE Sectorial'!K92/1000/1000</f>
        <v>5.1291839999999991E-2</v>
      </c>
      <c r="K93" s="17">
        <f>'Datos Actividad'!$K89*'FE Sectorial'!$H92*'FE Sectorial'!L92/1000/1000</f>
        <v>17.097279999999998</v>
      </c>
      <c r="L93" s="17">
        <f>'Datos Actividad'!$K89*'FE Sectorial'!$H92*'FE Sectorial'!M92/1000/1000</f>
        <v>0.85486400000000007</v>
      </c>
      <c r="M93" s="17">
        <f>'Datos Actividad'!$K89*'FE Sectorial'!$H92*'FE Sectorial'!N92/1000/1000</f>
        <v>0.42743200000000003</v>
      </c>
      <c r="N93" s="17">
        <f>'Datos Actividad'!$K89*'FE Sectorial'!$H92*'FE Sectorial'!O92/1000/1000</f>
        <v>16.928000000000001</v>
      </c>
      <c r="O93" s="87">
        <f>IF(D93&lt;400,H93+I93*'Factores generales'!$M$41+J93*'Factores generales'!$N$41,I93*'Factores generales'!$M$41+J93*'Factores generales'!$N$41)</f>
        <v>6571.7670000000007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2099433.4710095674</v>
      </c>
      <c r="I94" s="15">
        <f t="shared" ref="I94:O94" si="22">SUM(I95:I100)</f>
        <v>73.063508201519369</v>
      </c>
      <c r="J94" s="15">
        <f t="shared" si="22"/>
        <v>13.796724329298677</v>
      </c>
      <c r="K94" s="15">
        <f t="shared" si="22"/>
        <v>5204.0758140295693</v>
      </c>
      <c r="L94" s="15">
        <f t="shared" si="22"/>
        <v>495.81955946405549</v>
      </c>
      <c r="M94" s="15">
        <f t="shared" si="22"/>
        <v>148.97175736937217</v>
      </c>
      <c r="N94" s="15">
        <f t="shared" si="22"/>
        <v>2397.5001785336508</v>
      </c>
      <c r="O94" s="15">
        <f t="shared" si="22"/>
        <v>2105244.7892238814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Actividad'!$K91*'FE Sectorial'!$H94*'FE Sectorial'!I94*'FE Sectorial'!P94/1000</f>
        <v>0</v>
      </c>
      <c r="I95" s="17">
        <f>'Datos Actividad'!$K91*'FE Sectorial'!$H94*'FE Sectorial'!J94/1000/1000</f>
        <v>0</v>
      </c>
      <c r="J95" s="17">
        <f>'Datos Actividad'!$K91*'FE Sectorial'!$H94*'FE Sectorial'!K94/1000/1000</f>
        <v>0</v>
      </c>
      <c r="K95" s="17">
        <f>'Datos Actividad'!$K91*'FE Sectorial'!$H94*'FE Sectorial'!L94/1000/1000</f>
        <v>0</v>
      </c>
      <c r="L95" s="17">
        <f>'Datos Actividad'!$K91*'FE Sectorial'!$H94*'FE Sectorial'!M94/1000/1000</f>
        <v>0</v>
      </c>
      <c r="M95" s="17">
        <f>'Datos Actividad'!$K91*'FE Sectorial'!$H94*'FE Sectorial'!N94/1000/1000</f>
        <v>0</v>
      </c>
      <c r="N95" s="17">
        <f>'Datos Actividad'!$K91*'FE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Actividad'!$K92*'FE Sectorial'!$H95*'FE Sectorial'!I95*'FE Sectorial'!P95/1000</f>
        <v>509732.86641183612</v>
      </c>
      <c r="I96" s="17">
        <f>'Datos Actividad'!$K92*'FE Sectorial'!$H95*'FE Sectorial'!J95/1000/1000</f>
        <v>8.1597731100519635</v>
      </c>
      <c r="J96" s="17">
        <f>'Datos Actividad'!$K92*'FE Sectorial'!$H95*'FE Sectorial'!K95/1000/1000</f>
        <v>0.81597731100519655</v>
      </c>
      <c r="K96" s="17">
        <f>'Datos Actividad'!$K92*'FE Sectorial'!$H95*'FE Sectorial'!L95/1000/1000</f>
        <v>1223.9659665077945</v>
      </c>
      <c r="L96" s="17">
        <f>'Datos Actividad'!$K92*'FE Sectorial'!$H95*'FE Sectorial'!M95/1000/1000</f>
        <v>244.79319330155894</v>
      </c>
      <c r="M96" s="17">
        <f>'Datos Actividad'!$K92*'FE Sectorial'!$H95*'FE Sectorial'!N95/1000/1000</f>
        <v>40.798865550259819</v>
      </c>
      <c r="N96" s="17">
        <f>'Datos Actividad'!$K92*'FE Sectorial'!$H95*'FE Sectorial'!O95/1000/1000</f>
        <v>34.502211881826504</v>
      </c>
      <c r="O96" s="87">
        <f>IF(D96&lt;400,H96+I96*'Factores generales'!$M$41+J96*'Factores generales'!$N$41,I96*'Factores generales'!$M$41+J96*'Factores generales'!$N$41)</f>
        <v>510157.1746135588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Actividad'!$K93*'FE Sectorial'!$H96*'FE Sectorial'!I96*'FE Sectorial'!P96/1000</f>
        <v>210445.23372141173</v>
      </c>
      <c r="I97" s="17">
        <f>'Datos Actividad'!$K93*'FE Sectorial'!$H96*'FE Sectorial'!J96/1000/1000</f>
        <v>8.6061110588235277</v>
      </c>
      <c r="J97" s="17">
        <f>'Datos Actividad'!$K93*'FE Sectorial'!$H96*'FE Sectorial'!K96/1000/1000</f>
        <v>1.7212222117647056</v>
      </c>
      <c r="K97" s="17">
        <f>'Datos Actividad'!$K93*'FE Sectorial'!$H96*'FE Sectorial'!L96/1000/1000</f>
        <v>573.74073725490189</v>
      </c>
      <c r="L97" s="17">
        <f>'Datos Actividad'!$K93*'FE Sectorial'!$H96*'FE Sectorial'!M96/1000/1000</f>
        <v>28.687036862745096</v>
      </c>
      <c r="M97" s="17">
        <f>'Datos Actividad'!$K93*'FE Sectorial'!$H96*'FE Sectorial'!N96/1000/1000</f>
        <v>14.343518431372548</v>
      </c>
      <c r="N97" s="17">
        <f>'Datos Actividad'!$K93*'FE Sectorial'!$H96*'FE Sectorial'!O96/1000/1000</f>
        <v>104.07390117647059</v>
      </c>
      <c r="O97" s="87">
        <f>IF(D97&lt;400,H97+I97*'Factores generales'!$M$41+J97*'Factores generales'!$N$41,I97*'Factores generales'!$M$41+J97*'Factores generales'!$N$41)</f>
        <v>211159.54093929409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Actividad'!$K94*'FE Sectorial'!$H97*'FE Sectorial'!I97*'FE Sectorial'!P97/1000</f>
        <v>804879.50400000019</v>
      </c>
      <c r="I98" s="17">
        <f>'Datos Actividad'!$K94*'FE Sectorial'!$H97*'FE Sectorial'!J97/1000/1000</f>
        <v>31.512000000000008</v>
      </c>
      <c r="J98" s="17">
        <f>'Datos Actividad'!$K94*'FE Sectorial'!$H97*'FE Sectorial'!K97/1000/1000</f>
        <v>6.3024000000000004</v>
      </c>
      <c r="K98" s="17">
        <f>'Datos Actividad'!$K94*'FE Sectorial'!$H97*'FE Sectorial'!L97/1000/1000</f>
        <v>2100.8000000000006</v>
      </c>
      <c r="L98" s="17">
        <f>'Datos Actividad'!$K94*'FE Sectorial'!$H97*'FE Sectorial'!M97/1000/1000</f>
        <v>105.04000000000002</v>
      </c>
      <c r="M98" s="17">
        <f>'Datos Actividad'!$K94*'FE Sectorial'!$H97*'FE Sectorial'!N97/1000/1000</f>
        <v>52.52000000000001</v>
      </c>
      <c r="N98" s="17">
        <f>'Datos Actividad'!$K94*'FE Sectorial'!$H97*'FE Sectorial'!O97/1000/1000</f>
        <v>2080.0000000000005</v>
      </c>
      <c r="O98" s="87">
        <f>IF(D98&lt;400,H98+I98*'Factores generales'!$M$41+J98*'Factores generales'!$N$41,I98*'Factores generales'!$M$41+J98*'Factores generales'!$N$41)</f>
        <v>807495.00000000012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Actividad'!$K95*'FE Sectorial'!$H98*'FE Sectorial'!I98*'FE Sectorial'!P98/1000</f>
        <v>328889.36347826087</v>
      </c>
      <c r="I99" s="17">
        <f>'Datos Actividad'!$K95*'FE Sectorial'!$H98*'FE Sectorial'!J98/1000/1000</f>
        <v>14.381449275362318</v>
      </c>
      <c r="J99" s="17">
        <f>'Datos Actividad'!$K95*'FE Sectorial'!$H98*'FE Sectorial'!K98/1000/1000</f>
        <v>2.8762898550724634</v>
      </c>
      <c r="K99" s="17">
        <f>'Datos Actividad'!$K95*'FE Sectorial'!$H98*'FE Sectorial'!L98/1000/1000</f>
        <v>958.76328502415458</v>
      </c>
      <c r="L99" s="17">
        <f>'Datos Actividad'!$K95*'FE Sectorial'!$H98*'FE Sectorial'!M98/1000/1000</f>
        <v>47.938164251207724</v>
      </c>
      <c r="M99" s="17">
        <f>'Datos Actividad'!$K95*'FE Sectorial'!$H98*'FE Sectorial'!N98/1000/1000</f>
        <v>23.969082125603862</v>
      </c>
      <c r="N99" s="17">
        <f>'Datos Actividad'!$K95*'FE Sectorial'!$H98*'FE Sectorial'!O98/1000/1000</f>
        <v>21.64251207729469</v>
      </c>
      <c r="O99" s="87">
        <f>IF(D99&lt;400,H99+I99*'Factores generales'!$M$41+J99*'Factores generales'!$N$41,I99*'Factores generales'!$M$41+J99*'Factores generales'!$N$41)</f>
        <v>330083.02376811591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Actividad'!$K96*'FE Sectorial'!$H99*'FE Sectorial'!I99*'FE Sectorial'!P99/1000</f>
        <v>245486.50339805832</v>
      </c>
      <c r="I100" s="17">
        <f>'Datos Actividad'!$K96*'FE Sectorial'!$H99*'FE Sectorial'!J99/1000/1000</f>
        <v>10.404174757281556</v>
      </c>
      <c r="J100" s="17">
        <f>'Datos Actividad'!$K96*'FE Sectorial'!$H99*'FE Sectorial'!K99/1000/1000</f>
        <v>2.0808349514563109</v>
      </c>
      <c r="K100" s="17">
        <f>'Datos Actividad'!$K96*'FE Sectorial'!$H99*'FE Sectorial'!L99/1000/1000</f>
        <v>346.80582524271853</v>
      </c>
      <c r="L100" s="17">
        <f>'Datos Actividad'!$K96*'FE Sectorial'!$H99*'FE Sectorial'!M99/1000/1000</f>
        <v>69.361165048543711</v>
      </c>
      <c r="M100" s="17">
        <f>'Datos Actividad'!$K96*'FE Sectorial'!$H99*'FE Sectorial'!N99/1000/1000</f>
        <v>17.340291262135928</v>
      </c>
      <c r="N100" s="17">
        <f>'Datos Actividad'!$K96*'FE Sectorial'!$H99*'FE Sectorial'!O99/1000/1000</f>
        <v>157.28155339805829</v>
      </c>
      <c r="O100" s="87">
        <f>IF(D100&lt;400,H100+I100*'Factores generales'!$M$41+J100*'Factores generales'!$N$41,I100*'Factores generales'!$M$41+J100*'Factores generales'!$N$41)</f>
        <v>246350.04990291269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36138378.188357264</v>
      </c>
      <c r="I101" s="129">
        <f t="shared" si="23"/>
        <v>12373.886022272462</v>
      </c>
      <c r="J101" s="129">
        <f t="shared" si="23"/>
        <v>2171.1335593409999</v>
      </c>
      <c r="K101" s="129">
        <f t="shared" si="23"/>
        <v>351813.49910721456</v>
      </c>
      <c r="L101" s="129">
        <f t="shared" si="23"/>
        <v>1006213.1919094088</v>
      </c>
      <c r="M101" s="129">
        <f t="shared" si="23"/>
        <v>185867.97527745413</v>
      </c>
      <c r="N101" s="129">
        <f t="shared" si="23"/>
        <v>11430.207676391321</v>
      </c>
      <c r="O101" s="129">
        <f t="shared" si="23"/>
        <v>37071281.198220685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1103300.2203970549</v>
      </c>
      <c r="I102" s="134">
        <f t="shared" ref="I102:O102" si="24">I105</f>
        <v>7.7933193501240012</v>
      </c>
      <c r="J102" s="134">
        <f t="shared" si="24"/>
        <v>31.173277400496005</v>
      </c>
      <c r="K102" s="134">
        <f t="shared" si="24"/>
        <v>3896.6596750620006</v>
      </c>
      <c r="L102" s="134">
        <f t="shared" si="24"/>
        <v>1558.6638700248002</v>
      </c>
      <c r="M102" s="134">
        <f t="shared" si="24"/>
        <v>779.33193501240009</v>
      </c>
      <c r="N102" s="134">
        <f t="shared" si="24"/>
        <v>706.87703855999996</v>
      </c>
      <c r="O102" s="134">
        <f t="shared" si="24"/>
        <v>1113127.5960975613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2348430.809989545</v>
      </c>
      <c r="I103" s="15">
        <f t="shared" ref="I103:O103" si="25">I104</f>
        <v>16.588477855404001</v>
      </c>
      <c r="J103" s="15">
        <f t="shared" si="25"/>
        <v>66.353911421616004</v>
      </c>
      <c r="K103" s="15">
        <f t="shared" si="25"/>
        <v>8294.2389277020011</v>
      </c>
      <c r="L103" s="15">
        <f t="shared" si="25"/>
        <v>3317.6955710808006</v>
      </c>
      <c r="M103" s="15">
        <f t="shared" si="25"/>
        <v>1658.8477855404003</v>
      </c>
      <c r="N103" s="15">
        <f t="shared" si="25"/>
        <v>1504.6238417600002</v>
      </c>
      <c r="O103" s="15">
        <f t="shared" si="25"/>
        <v>2369348.8805652093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Actividad'!$K100*'FE Sectorial'!$H103*'FE Sectorial'!I103*'FE Sectorial'!P103/1000</f>
        <v>2348430.809989545</v>
      </c>
      <c r="I104" s="17">
        <f>'Datos Actividad'!$K100*'FE Sectorial'!$H103*'FE Sectorial'!J103/1000/1000</f>
        <v>16.588477855404001</v>
      </c>
      <c r="J104" s="17">
        <f>'Datos Actividad'!$K100*'FE Sectorial'!$H103*'FE Sectorial'!K103/1000/1000</f>
        <v>66.353911421616004</v>
      </c>
      <c r="K104" s="17">
        <f>'Datos Actividad'!$K100*'FE Sectorial'!$H103*'FE Sectorial'!L103/1000/1000</f>
        <v>8294.2389277020011</v>
      </c>
      <c r="L104" s="17">
        <f>'Datos Actividad'!$K100*'FE Sectorial'!$H103*'FE Sectorial'!M103/1000/1000</f>
        <v>3317.6955710808006</v>
      </c>
      <c r="M104" s="17">
        <f>'Datos Actividad'!$K100*'FE Sectorial'!$H103*'FE Sectorial'!N103/1000/1000</f>
        <v>1658.8477855404003</v>
      </c>
      <c r="N104" s="17">
        <f>'Datos Actividad'!$K100*'FE Sectorial'!$H103*'FE Sectorial'!O103/1000/1000</f>
        <v>1504.6238417600002</v>
      </c>
      <c r="O104" s="87">
        <f>IF(D104&lt;400,H104+I104*'Factores generales'!$M$41+J104*'Factores generales'!$N$41,I104*'Factores generales'!$M$41+J104*'Factores generales'!$N$41)</f>
        <v>2369348.8805652093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1103300.2203970549</v>
      </c>
      <c r="I105" s="15">
        <f t="shared" ref="I105:O105" si="26">I106</f>
        <v>7.7933193501240012</v>
      </c>
      <c r="J105" s="15">
        <f t="shared" si="26"/>
        <v>31.173277400496005</v>
      </c>
      <c r="K105" s="15">
        <f t="shared" si="26"/>
        <v>3896.6596750620006</v>
      </c>
      <c r="L105" s="15">
        <f t="shared" si="26"/>
        <v>1558.6638700248002</v>
      </c>
      <c r="M105" s="15">
        <f t="shared" si="26"/>
        <v>779.33193501240009</v>
      </c>
      <c r="N105" s="15">
        <f t="shared" si="26"/>
        <v>706.87703855999996</v>
      </c>
      <c r="O105" s="15">
        <f t="shared" si="26"/>
        <v>1113127.5960975613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Actividad'!$K102*'FE Sectorial'!$H105*'FE Sectorial'!I105*'FE Sectorial'!P105/1000</f>
        <v>1103300.2203970549</v>
      </c>
      <c r="I106" s="17">
        <f>'Datos Actividad'!$K102*'FE Sectorial'!$H105*'FE Sectorial'!J105/1000/1000</f>
        <v>7.7933193501240012</v>
      </c>
      <c r="J106" s="17">
        <f>'Datos Actividad'!$K102*'FE Sectorial'!$H105*'FE Sectorial'!K105/1000/1000</f>
        <v>31.173277400496005</v>
      </c>
      <c r="K106" s="17">
        <f>'Datos Actividad'!$K102*'FE Sectorial'!$H105*'FE Sectorial'!L105/1000/1000</f>
        <v>3896.6596750620006</v>
      </c>
      <c r="L106" s="17">
        <f>'Datos Actividad'!$K102*'FE Sectorial'!$H105*'FE Sectorial'!M105/1000/1000</f>
        <v>1558.6638700248002</v>
      </c>
      <c r="M106" s="17">
        <f>'Datos Actividad'!$K102*'FE Sectorial'!$H105*'FE Sectorial'!N105/1000/1000</f>
        <v>779.33193501240009</v>
      </c>
      <c r="N106" s="17">
        <f>'Datos Actividad'!$K102*'FE Sectorial'!$H105*'FE Sectorial'!O105/1000/1000</f>
        <v>706.87703855999996</v>
      </c>
      <c r="O106" s="87">
        <f>IF(D106&lt;400,H106+I106*'Factores generales'!$M$41+J106*'Factores generales'!$N$41,I106*'Factores generales'!$M$41+J106*'Factores generales'!$N$41)</f>
        <v>1113127.5960975613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31871315.528670426</v>
      </c>
      <c r="I107" s="134">
        <f t="shared" si="27"/>
        <v>12289.626148166173</v>
      </c>
      <c r="J107" s="134">
        <f t="shared" si="27"/>
        <v>2067.3715282337289</v>
      </c>
      <c r="K107" s="134">
        <f t="shared" si="27"/>
        <v>334115.84879074554</v>
      </c>
      <c r="L107" s="134">
        <f t="shared" si="27"/>
        <v>999066.95773900964</v>
      </c>
      <c r="M107" s="134">
        <f t="shared" si="27"/>
        <v>183920.46505784639</v>
      </c>
      <c r="N107" s="134">
        <f t="shared" si="27"/>
        <v>10540.060173353551</v>
      </c>
      <c r="O107" s="134">
        <f t="shared" si="27"/>
        <v>32770282.85153437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29618012.542512655</v>
      </c>
      <c r="I108" s="15">
        <f t="shared" ref="I108:O108" si="28">I109+I110+I111+I112+I113</f>
        <v>12169.833325935564</v>
      </c>
      <c r="J108" s="15">
        <f t="shared" si="28"/>
        <v>1947.5787060031189</v>
      </c>
      <c r="K108" s="15">
        <f t="shared" si="28"/>
        <v>309542.96217933838</v>
      </c>
      <c r="L108" s="15">
        <f t="shared" si="28"/>
        <v>968350.84947475069</v>
      </c>
      <c r="M108" s="15">
        <f t="shared" si="28"/>
        <v>177777.2434049946</v>
      </c>
      <c r="N108" s="15">
        <f t="shared" si="28"/>
        <v>9425.7083386502036</v>
      </c>
      <c r="O108" s="15">
        <f t="shared" si="28"/>
        <v>30477328.441218268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Actividad'!$K105*'FE Sectorial'!$H108*'FE Sectorial'!I108*'FE Sectorial'!P108/1000</f>
        <v>5505418.4396365443</v>
      </c>
      <c r="I109" s="17">
        <f>'Datos Actividad'!$K105*'FE Sectorial'!$H108*'FE Sectorial'!J108/1000/1000</f>
        <v>9073.8630128640016</v>
      </c>
      <c r="J109" s="17">
        <f>'Datos Actividad'!$K105*'FE Sectorial'!$H108*'FE Sectorial'!K108/1000/1000</f>
        <v>295.88683737600002</v>
      </c>
      <c r="K109" s="17">
        <f>'Datos Actividad'!$K105*'FE Sectorial'!$H108*'FE Sectorial'!L108/1000/1000</f>
        <v>59177.367475200001</v>
      </c>
      <c r="L109" s="17">
        <f>'Datos Actividad'!$K105*'FE Sectorial'!$H108*'FE Sectorial'!M108/1000/1000</f>
        <v>39451.578316799998</v>
      </c>
      <c r="M109" s="17">
        <f>'Datos Actividad'!$K105*'FE Sectorial'!$H108*'FE Sectorial'!N108/1000/1000</f>
        <v>493.14472895999995</v>
      </c>
      <c r="N109" s="17">
        <f>'Datos Actividad'!$K105*'FE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5787694.4824932478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Actividad'!$K106*'FE Sectorial'!$H109*'FE Sectorial'!I109*'FE Sectorial'!P109/1000</f>
        <v>18283911.08887611</v>
      </c>
      <c r="I110" s="17">
        <f>'Datos Actividad'!$K106*'FE Sectorial'!$H109*'FE Sectorial'!J109/1000/1000</f>
        <v>972.03142418267464</v>
      </c>
      <c r="J110" s="17">
        <f>'Datos Actividad'!$K106*'FE Sectorial'!$H109*'FE Sectorial'!K109/1000/1000</f>
        <v>972.03142418267464</v>
      </c>
      <c r="K110" s="17">
        <f>'Datos Actividad'!$K106*'FE Sectorial'!$H109*'FE Sectorial'!L109/1000/1000</f>
        <v>199391.06137080505</v>
      </c>
      <c r="L110" s="17">
        <f>'Datos Actividad'!$K106*'FE Sectorial'!$H109*'FE Sectorial'!M109/1000/1000</f>
        <v>249238.82671350631</v>
      </c>
      <c r="M110" s="17">
        <f>'Datos Actividad'!$K106*'FE Sectorial'!$H109*'FE Sectorial'!N109/1000/1000</f>
        <v>49847.765342701263</v>
      </c>
      <c r="N110" s="17">
        <f>'Datos Actividad'!$K106*'FE Sectorial'!$H109*'FE Sectorial'!O109/1000/1000</f>
        <v>9042.1527830946488</v>
      </c>
      <c r="O110" s="87">
        <f>IF(D110&lt;400,H110+I110*'Factores generales'!$M$41+J110*'Factores generales'!$N$41,I110*'Factores generales'!$M$41+J110*'Factores generales'!$N$41)</f>
        <v>18605653.490280576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Actividad'!$K107*'FE Sectorial'!$H110*'FE Sectorial'!I110*'FE Sectorial'!P110/1000</f>
        <v>5828683.0140000004</v>
      </c>
      <c r="I111" s="17">
        <f>'Datos Actividad'!$K107*'FE Sectorial'!$H110*'FE Sectorial'!J110/1000/1000</f>
        <v>2123.9388888888889</v>
      </c>
      <c r="J111" s="17">
        <f>'Datos Actividad'!$K107*'FE Sectorial'!$H110*'FE Sectorial'!K110/1000/1000</f>
        <v>679.66044444444435</v>
      </c>
      <c r="K111" s="17">
        <f>'Datos Actividad'!$K107*'FE Sectorial'!$H110*'FE Sectorial'!L110/1000/1000</f>
        <v>50974.533333333326</v>
      </c>
      <c r="L111" s="17">
        <f>'Datos Actividad'!$K107*'FE Sectorial'!$H110*'FE Sectorial'!M110/1000/1000</f>
        <v>679660.44444444438</v>
      </c>
      <c r="M111" s="17">
        <f>'Datos Actividad'!$K107*'FE Sectorial'!$H110*'FE Sectorial'!N110/1000/1000</f>
        <v>127436.33333333333</v>
      </c>
      <c r="N111" s="17">
        <f>'Datos Actividad'!$K107*'FE Sectorial'!$H110*'FE Sectorial'!O110/1000/1000</f>
        <v>383.55555555555554</v>
      </c>
      <c r="O111" s="87">
        <f>IF(D111&lt;400,H111+I111*'Factores generales'!$M$41+J111*'Factores generales'!$N$41,I111*'Factores generales'!$M$41+J111*'Factores generales'!$N$41)</f>
        <v>6083980.4684444452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Actividad'!$K108*'FE Sectorial'!$H111*'FE Sectorial'!I111*'FE Sectorial'!P111/1000</f>
        <v>0</v>
      </c>
      <c r="I112" s="17">
        <f>'Datos Actividad'!$K108*'FE Sectorial'!$H111*'FE Sectorial'!J111/1000/1000</f>
        <v>0</v>
      </c>
      <c r="J112" s="17">
        <f>'Datos Actividad'!$K108*'FE Sectorial'!$H111*'FE Sectorial'!K111/1000/1000</f>
        <v>0</v>
      </c>
      <c r="K112" s="17">
        <f>'Datos Actividad'!$K108*'FE Sectorial'!$H111*'FE Sectorial'!L111/1000/1000</f>
        <v>0</v>
      </c>
      <c r="L112" s="17">
        <f>'Datos Actividad'!$K108*'FE Sectorial'!$H111*'FE Sectorial'!M111/1000/1000</f>
        <v>0</v>
      </c>
      <c r="M112" s="17">
        <f>'Datos Actividad'!$K108*'FE Sectorial'!$H111*'FE Sectorial'!N111/1000/1000</f>
        <v>0</v>
      </c>
      <c r="N112" s="17">
        <f>'Datos Actividad'!$K108*'FE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Actividad'!$K109*'FE Sectorial'!$H112*'FE Sectorial'!I112*'FE Sectorial'!P112/1000</f>
        <v>0</v>
      </c>
      <c r="I113" s="17">
        <f>'Datos Actividad'!$K109*'FE Sectorial'!$H112*'FE Sectorial'!J112/1000/1000</f>
        <v>0</v>
      </c>
      <c r="J113" s="17">
        <f>'Datos Actividad'!$K109*'FE Sectorial'!$H112*'FE Sectorial'!K112/1000/1000</f>
        <v>0</v>
      </c>
      <c r="K113" s="17">
        <f>'Datos Actividad'!$K109*'FE Sectorial'!$H112*'FE Sectorial'!L112/1000/1000</f>
        <v>0</v>
      </c>
      <c r="L113" s="17">
        <f>'Datos Actividad'!$K109*'FE Sectorial'!$H112*'FE Sectorial'!M112/1000/1000</f>
        <v>0</v>
      </c>
      <c r="M113" s="17">
        <f>'Datos Actividad'!$K109*'FE Sectorial'!$H112*'FE Sectorial'!N112/1000/1000</f>
        <v>0</v>
      </c>
      <c r="N113" s="17">
        <f>'Datos Actividad'!$K109*'FE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2253302.9861577712</v>
      </c>
      <c r="I114" s="15">
        <f t="shared" ref="I114:O114" si="29">I115</f>
        <v>119.79282223060984</v>
      </c>
      <c r="J114" s="15">
        <f t="shared" si="29"/>
        <v>119.79282223060984</v>
      </c>
      <c r="K114" s="15">
        <f t="shared" si="29"/>
        <v>24572.88661140715</v>
      </c>
      <c r="L114" s="15">
        <f t="shared" si="29"/>
        <v>30716.108264258935</v>
      </c>
      <c r="M114" s="15">
        <f t="shared" si="29"/>
        <v>6143.2216528517874</v>
      </c>
      <c r="N114" s="15">
        <f t="shared" si="29"/>
        <v>1114.3518347033473</v>
      </c>
      <c r="O114" s="15">
        <f t="shared" si="29"/>
        <v>2292954.4103161031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Actividad'!$K111*'FE Sectorial'!$H114*'FE Sectorial'!I114*'FE Sectorial'!P114/1000</f>
        <v>2253302.9861577712</v>
      </c>
      <c r="I115" s="17">
        <f>'Datos Actividad'!$K111*'FE Sectorial'!$H114*'FE Sectorial'!J114/1000/1000</f>
        <v>119.79282223060984</v>
      </c>
      <c r="J115" s="17">
        <f>'Datos Actividad'!$K111*'FE Sectorial'!$H114*'FE Sectorial'!K114/1000/1000</f>
        <v>119.79282223060984</v>
      </c>
      <c r="K115" s="17">
        <f>'Datos Actividad'!$K111*'FE Sectorial'!$H114*'FE Sectorial'!L114/1000/1000</f>
        <v>24572.88661140715</v>
      </c>
      <c r="L115" s="17">
        <f>'Datos Actividad'!$K111*'FE Sectorial'!$H114*'FE Sectorial'!M114/1000/1000</f>
        <v>30716.108264258935</v>
      </c>
      <c r="M115" s="17">
        <f>'Datos Actividad'!$K111*'FE Sectorial'!$H114*'FE Sectorial'!N114/1000/1000</f>
        <v>6143.2216528517874</v>
      </c>
      <c r="N115" s="17">
        <f>'Datos Actividad'!$K111*'FE Sectorial'!$H114*'FE Sectorial'!O114/1000/1000</f>
        <v>1114.3518347033473</v>
      </c>
      <c r="O115" s="87">
        <f>IF(D115&lt;400,H115+I115*'Factores generales'!$M$41+J115*'Factores generales'!$N$41,I115*'Factores generales'!$M$41+J115*'Factores generales'!$N$41)</f>
        <v>2292954.4103161031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160949.29488285707</v>
      </c>
      <c r="I116" s="134">
        <f t="shared" ref="I116:O116" si="30">I117</f>
        <v>9.1050801369137648</v>
      </c>
      <c r="J116" s="134">
        <f t="shared" si="30"/>
        <v>62.748263112224983</v>
      </c>
      <c r="K116" s="134">
        <f t="shared" si="30"/>
        <v>2632.7942564569921</v>
      </c>
      <c r="L116" s="134">
        <f t="shared" si="30"/>
        <v>2193.9952137141599</v>
      </c>
      <c r="M116" s="134">
        <f t="shared" si="30"/>
        <v>438.799042742832</v>
      </c>
      <c r="N116" s="134">
        <f t="shared" si="30"/>
        <v>79.596105427769515</v>
      </c>
      <c r="O116" s="134">
        <f t="shared" si="30"/>
        <v>180592.463130522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Actividad'!$K113*'FE Sectorial'!$H116*'FE Sectorial'!I116*'FE Sectorial'!P116/1000</f>
        <v>160949.29488285707</v>
      </c>
      <c r="I117" s="17">
        <f>'Datos Actividad'!$K113*'FE Sectorial'!$H116*'FE Sectorial'!J116/1000/1000</f>
        <v>9.1050801369137648</v>
      </c>
      <c r="J117" s="17">
        <f>'Datos Actividad'!$K113*'FE Sectorial'!$H116*'FE Sectorial'!K116/1000/1000</f>
        <v>62.748263112224983</v>
      </c>
      <c r="K117" s="17">
        <f>'Datos Actividad'!$K113*'FE Sectorial'!$H116*'FE Sectorial'!L116/1000/1000</f>
        <v>2632.7942564569921</v>
      </c>
      <c r="L117" s="17">
        <f>'Datos Actividad'!$K113*'FE Sectorial'!$H116*'FE Sectorial'!M116/1000/1000</f>
        <v>2193.9952137141599</v>
      </c>
      <c r="M117" s="17">
        <f>'Datos Actividad'!$K113*'FE Sectorial'!$H116*'FE Sectorial'!N116/1000/1000</f>
        <v>438.799042742832</v>
      </c>
      <c r="N117" s="17">
        <f>'Datos Actividad'!$K113*'FE Sectorial'!$H116*'FE Sectorial'!O116/1000/1000</f>
        <v>79.596105427769515</v>
      </c>
      <c r="O117" s="87">
        <f>IF(D117&lt;400,H117+I117*'Factores generales'!$M$41+J117*'Factores generales'!$N$41,I117*'Factores generales'!$M$41+J117*'Factores generales'!$N$41)</f>
        <v>180592.463130522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174998.03117902877</v>
      </c>
      <c r="I118" s="134">
        <f t="shared" ref="I118:O118" si="31">I122</f>
        <v>16.667279098749997</v>
      </c>
      <c r="J118" s="134">
        <f t="shared" si="31"/>
        <v>4.7620797425000001</v>
      </c>
      <c r="K118" s="134">
        <f t="shared" si="31"/>
        <v>3571.5598068749996</v>
      </c>
      <c r="L118" s="134">
        <f t="shared" si="31"/>
        <v>2381.03987125</v>
      </c>
      <c r="M118" s="134">
        <f t="shared" si="31"/>
        <v>476.20797425000001</v>
      </c>
      <c r="N118" s="134">
        <f t="shared" si="31"/>
        <v>102.58703905</v>
      </c>
      <c r="O118" s="134">
        <f t="shared" si="31"/>
        <v>176824.2887602775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2664913.7216893751</v>
      </c>
      <c r="I119" s="15">
        <f t="shared" ref="I119:O119" si="32">I120+I121</f>
        <v>245.75056176159998</v>
      </c>
      <c r="J119" s="15">
        <f t="shared" si="32"/>
        <v>70.214446217599999</v>
      </c>
      <c r="K119" s="15">
        <f t="shared" si="32"/>
        <v>52660.834663199996</v>
      </c>
      <c r="L119" s="15">
        <f t="shared" si="32"/>
        <v>35107.223108799997</v>
      </c>
      <c r="M119" s="15">
        <f t="shared" si="32"/>
        <v>7021.4446217599998</v>
      </c>
      <c r="N119" s="15">
        <f t="shared" si="32"/>
        <v>5703.7267271360006</v>
      </c>
      <c r="O119" s="15">
        <f t="shared" si="32"/>
        <v>2691840.9618138243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Actividad'!$K116*'FE Sectorial'!$H119*'FE Sectorial'!I119*'FE Sectorial'!P119/1000</f>
        <v>566131.99933152716</v>
      </c>
      <c r="I120" s="17">
        <f>'Datos Actividad'!$K116*'FE Sectorial'!$H119*'FE Sectorial'!J119/1000/1000</f>
        <v>54.020965325599995</v>
      </c>
      <c r="J120" s="17">
        <f>'Datos Actividad'!$K116*'FE Sectorial'!$H119*'FE Sectorial'!K119/1000/1000</f>
        <v>15.434561521599999</v>
      </c>
      <c r="K120" s="17">
        <f>'Datos Actividad'!$K116*'FE Sectorial'!$H119*'FE Sectorial'!L119/1000/1000</f>
        <v>11575.921141199999</v>
      </c>
      <c r="L120" s="17">
        <f>'Datos Actividad'!$K116*'FE Sectorial'!$H119*'FE Sectorial'!M119/1000/1000</f>
        <v>7717.2807607999994</v>
      </c>
      <c r="M120" s="17">
        <f>'Datos Actividad'!$K116*'FE Sectorial'!$H119*'FE Sectorial'!N119/1000/1000</f>
        <v>1543.4561521599999</v>
      </c>
      <c r="N120" s="17">
        <f>'Datos Actividad'!$K116*'FE Sectorial'!$H119*'FE Sectorial'!O119/1000/1000</f>
        <v>279.975767136</v>
      </c>
      <c r="O120" s="87">
        <f>IF(D120&lt;400,H120+I120*'Factores generales'!$M$41+J120*'Factores generales'!$N$41,I120*'Factores generales'!$M$41+J120*'Factores generales'!$N$41)</f>
        <v>572051.15367506084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Actividad'!$K117*'FE Sectorial'!$H120*'FE Sectorial'!I120*'FE Sectorial'!P120/1000</f>
        <v>2098781.7223578477</v>
      </c>
      <c r="I121" s="17">
        <f>'Datos Actividad'!$K117*'FE Sectorial'!$H120*'FE Sectorial'!J120/1000/1000</f>
        <v>191.72959643599998</v>
      </c>
      <c r="J121" s="17">
        <f>'Datos Actividad'!$K117*'FE Sectorial'!$H120*'FE Sectorial'!K120/1000/1000</f>
        <v>54.779884695999996</v>
      </c>
      <c r="K121" s="17">
        <f>'Datos Actividad'!$K117*'FE Sectorial'!$H120*'FE Sectorial'!L120/1000/1000</f>
        <v>41084.913521999995</v>
      </c>
      <c r="L121" s="17">
        <f>'Datos Actividad'!$K117*'FE Sectorial'!$H120*'FE Sectorial'!M120/1000/1000</f>
        <v>27389.942347999997</v>
      </c>
      <c r="M121" s="17">
        <f>'Datos Actividad'!$K117*'FE Sectorial'!$H120*'FE Sectorial'!N120/1000/1000</f>
        <v>5477.9884695999999</v>
      </c>
      <c r="N121" s="17">
        <f>'Datos Actividad'!$K117*'FE Sectorial'!$H120*'FE Sectorial'!O120/1000/1000</f>
        <v>5423.7509600000003</v>
      </c>
      <c r="O121" s="87">
        <f>IF(D121&lt;400,H121+I121*'Factores generales'!$M$41+J121*'Factores generales'!$N$41,I121*'Factores generales'!$M$41+J121*'Factores generales'!$N$41)</f>
        <v>2119789.8081387635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174998.03117902877</v>
      </c>
      <c r="I122" s="15">
        <f t="shared" ref="I122:O122" si="33">I123+I124</f>
        <v>16.667279098749997</v>
      </c>
      <c r="J122" s="15">
        <f t="shared" si="33"/>
        <v>4.7620797425000001</v>
      </c>
      <c r="K122" s="15">
        <f t="shared" si="33"/>
        <v>3571.5598068749996</v>
      </c>
      <c r="L122" s="15">
        <f t="shared" si="33"/>
        <v>2381.03987125</v>
      </c>
      <c r="M122" s="15">
        <f t="shared" si="33"/>
        <v>476.20797425000001</v>
      </c>
      <c r="N122" s="15">
        <f t="shared" si="33"/>
        <v>102.58703905</v>
      </c>
      <c r="O122" s="15">
        <f t="shared" si="33"/>
        <v>176824.2887602775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Actividad'!$K119*'FE Sectorial'!$H122*'FE Sectorial'!I122*'FE Sectorial'!P122/1000</f>
        <v>167320.71898702875</v>
      </c>
      <c r="I123" s="17">
        <f>'Datos Actividad'!$K119*'FE Sectorial'!$H122*'FE Sectorial'!J122/1000/1000</f>
        <v>15.965935098749998</v>
      </c>
      <c r="J123" s="17">
        <f>'Datos Actividad'!$K119*'FE Sectorial'!$H122*'FE Sectorial'!K122/1000/1000</f>
        <v>4.5616957425000004</v>
      </c>
      <c r="K123" s="17">
        <f>'Datos Actividad'!$K119*'FE Sectorial'!$H122*'FE Sectorial'!L122/1000/1000</f>
        <v>3421.2718068749996</v>
      </c>
      <c r="L123" s="17">
        <f>'Datos Actividad'!$K119*'FE Sectorial'!$H122*'FE Sectorial'!M122/1000/1000</f>
        <v>2280.84787125</v>
      </c>
      <c r="M123" s="17">
        <f>'Datos Actividad'!$K119*'FE Sectorial'!$H122*'FE Sectorial'!N122/1000/1000</f>
        <v>456.16957424999998</v>
      </c>
      <c r="N123" s="17">
        <f>'Datos Actividad'!$K119*'FE Sectorial'!$H122*'FE Sectorial'!O122/1000/1000</f>
        <v>82.747039049999998</v>
      </c>
      <c r="O123" s="87">
        <f>IF(D123&lt;400,H123+I123*'Factores generales'!$M$41+J123*'Factores generales'!$N$41,I123*'Factores generales'!$M$41+J123*'Factores generales'!$N$41)</f>
        <v>169070.12930427751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Actividad'!$K120*'FE Sectorial'!$H123*'FE Sectorial'!I123*'FE Sectorial'!P123/1000</f>
        <v>7677.3121920000003</v>
      </c>
      <c r="I124" s="17">
        <f>'Datos Actividad'!$K120*'FE Sectorial'!$H123*'FE Sectorial'!J123/1000/1000</f>
        <v>0.70134400000000008</v>
      </c>
      <c r="J124" s="17">
        <f>'Datos Actividad'!$K120*'FE Sectorial'!$H123*'FE Sectorial'!K123/1000/1000</f>
        <v>0.20038399999999998</v>
      </c>
      <c r="K124" s="17">
        <f>'Datos Actividad'!$K120*'FE Sectorial'!$H123*'FE Sectorial'!L123/1000/1000</f>
        <v>150.28800000000001</v>
      </c>
      <c r="L124" s="17">
        <f>'Datos Actividad'!$K120*'FE Sectorial'!$H123*'FE Sectorial'!M123/1000/1000</f>
        <v>100.19199999999999</v>
      </c>
      <c r="M124" s="17">
        <f>'Datos Actividad'!$K120*'FE Sectorial'!$H123*'FE Sectorial'!N123/1000/1000</f>
        <v>20.038400000000003</v>
      </c>
      <c r="N124" s="17">
        <f>'Datos Actividad'!$K120*'FE Sectorial'!$H123*'FE Sectorial'!O123/1000/1000</f>
        <v>19.84</v>
      </c>
      <c r="O124" s="87">
        <f>IF(D124&lt;400,H124+I124*'Factores generales'!$M$41+J124*'Factores generales'!$N$41,I124*'Factores generales'!$M$41+J124*'Factores generales'!$N$41)</f>
        <v>7754.1594560000003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2827815.1132278964</v>
      </c>
      <c r="I125" s="134">
        <f t="shared" si="34"/>
        <v>50.694195520500003</v>
      </c>
      <c r="J125" s="134">
        <f t="shared" si="34"/>
        <v>5.0784108520500002</v>
      </c>
      <c r="K125" s="134">
        <f t="shared" si="34"/>
        <v>7596.6365780750011</v>
      </c>
      <c r="L125" s="134">
        <f t="shared" si="34"/>
        <v>1012.53521541</v>
      </c>
      <c r="M125" s="134">
        <f t="shared" si="34"/>
        <v>253.1712676025</v>
      </c>
      <c r="N125" s="134">
        <f t="shared" si="34"/>
        <v>1.0873199999999998</v>
      </c>
      <c r="O125" s="134">
        <f t="shared" si="34"/>
        <v>2830453.9986979621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2827815.1132278964</v>
      </c>
      <c r="I126" s="15">
        <f t="shared" si="35"/>
        <v>50.694195520500003</v>
      </c>
      <c r="J126" s="15">
        <f t="shared" si="35"/>
        <v>5.0784108520500002</v>
      </c>
      <c r="K126" s="15">
        <f t="shared" si="35"/>
        <v>7596.6365780750011</v>
      </c>
      <c r="L126" s="15">
        <f t="shared" si="35"/>
        <v>1012.53521541</v>
      </c>
      <c r="M126" s="15">
        <f t="shared" si="35"/>
        <v>253.1712676025</v>
      </c>
      <c r="N126" s="15">
        <f t="shared" si="35"/>
        <v>1.0873199999999998</v>
      </c>
      <c r="O126" s="15">
        <f t="shared" si="35"/>
        <v>2830453.9986979621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Actividad'!$K123*'FE Sectorial'!$H126*'FE Sectorial'!I126*'FE Sectorial'!P126/1000</f>
        <v>2790644.7271824004</v>
      </c>
      <c r="I127" s="17">
        <f>'Datos Actividad'!$K123*'FE Sectorial'!$H126*'FE Sectorial'!J126/1000/1000</f>
        <v>49.994083199999999</v>
      </c>
      <c r="J127" s="17">
        <f>'Datos Actividad'!$K123*'FE Sectorial'!$H126*'FE Sectorial'!K126/1000/1000</f>
        <v>4.9994083200000006</v>
      </c>
      <c r="K127" s="17">
        <f>'Datos Actividad'!$K123*'FE Sectorial'!$H126*'FE Sectorial'!L126/1000/1000</f>
        <v>7499.1124800000007</v>
      </c>
      <c r="L127" s="17">
        <f>'Datos Actividad'!$K123*'FE Sectorial'!$H126*'FE Sectorial'!M126/1000/1000</f>
        <v>999.881664</v>
      </c>
      <c r="M127" s="17">
        <f>'Datos Actividad'!$K123*'FE Sectorial'!$H126*'FE Sectorial'!N126/1000/1000</f>
        <v>249.970416</v>
      </c>
      <c r="N127" s="17">
        <f>'Datos Actividad'!$K123*'FE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2793244.4195088004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Actividad'!$K124*'FE Sectorial'!$H127*'FE Sectorial'!I127*'FE Sectorial'!P127/1000</f>
        <v>2198.6425889999996</v>
      </c>
      <c r="I128" s="17">
        <f>'Datos Actividad'!$K124*'FE Sectorial'!$H127*'FE Sectorial'!J127/1000/1000</f>
        <v>8.9912999999999993E-2</v>
      </c>
      <c r="J128" s="17">
        <f>'Datos Actividad'!$K124*'FE Sectorial'!$H127*'FE Sectorial'!K127/1000/1000</f>
        <v>1.7982599999999998E-2</v>
      </c>
      <c r="K128" s="17">
        <f>'Datos Actividad'!$K124*'FE Sectorial'!$H127*'FE Sectorial'!L127/1000/1000</f>
        <v>5.9942000000000002</v>
      </c>
      <c r="L128" s="17">
        <f>'Datos Actividad'!$K124*'FE Sectorial'!$H127*'FE Sectorial'!M127/1000/1000</f>
        <v>0.44956499999999999</v>
      </c>
      <c r="M128" s="17">
        <f>'Datos Actividad'!$K124*'FE Sectorial'!$H127*'FE Sectorial'!N127/1000/1000</f>
        <v>0.14985499999999999</v>
      </c>
      <c r="N128" s="17">
        <f>'Datos Actividad'!$K124*'FE Sectorial'!$H127*'FE Sectorial'!O127/1000/1000</f>
        <v>1.0873199999999998</v>
      </c>
      <c r="O128" s="87">
        <f>IF(D128&lt;400,H128+I128*'Factores generales'!$M$41+J128*'Factores generales'!$N$41,I128*'Factores generales'!$M$41+J128*'Factores generales'!$N$41)</f>
        <v>2206.1053679999995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Actividad'!$K125*'FE Sectorial'!$H128*'FE Sectorial'!I128*'FE Sectorial'!P128/1000</f>
        <v>34971.743456496006</v>
      </c>
      <c r="I129" s="17">
        <f>'Datos Actividad'!$K125*'FE Sectorial'!$H128*'FE Sectorial'!J128/1000/1000</f>
        <v>0.61019932050000003</v>
      </c>
      <c r="J129" s="17">
        <f>'Datos Actividad'!$K125*'FE Sectorial'!$H128*'FE Sectorial'!K128/1000/1000</f>
        <v>6.1019932050000003E-2</v>
      </c>
      <c r="K129" s="17">
        <f>'Datos Actividad'!$K125*'FE Sectorial'!$H128*'FE Sectorial'!L128/1000/1000</f>
        <v>91.529898075000006</v>
      </c>
      <c r="L129" s="17">
        <f>'Datos Actividad'!$K125*'FE Sectorial'!$H128*'FE Sectorial'!M128/1000/1000</f>
        <v>12.203986409999999</v>
      </c>
      <c r="M129" s="17">
        <f>'Datos Actividad'!$K125*'FE Sectorial'!$H128*'FE Sectorial'!N128/1000/1000</f>
        <v>3.0509966024999997</v>
      </c>
      <c r="N129" s="17">
        <f>'Datos Actividad'!$K125*'FE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35003.473821162006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36132100.433388934</v>
      </c>
      <c r="I131" s="129">
        <f t="shared" si="36"/>
        <v>3069.5591180838719</v>
      </c>
      <c r="J131" s="129">
        <f t="shared" si="36"/>
        <v>193.03902197262502</v>
      </c>
      <c r="K131" s="129">
        <f t="shared" si="36"/>
        <v>219187.66536210361</v>
      </c>
      <c r="L131" s="129">
        <f t="shared" si="36"/>
        <v>244783.7109057176</v>
      </c>
      <c r="M131" s="129">
        <f t="shared" si="36"/>
        <v>31323.417472455541</v>
      </c>
      <c r="N131" s="129">
        <f t="shared" si="36"/>
        <v>7482.364388445324</v>
      </c>
      <c r="O131" s="129">
        <f t="shared" si="36"/>
        <v>36256403.271680206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4109930.2509276737</v>
      </c>
      <c r="I132" s="134">
        <f>SUM(I133:I137)</f>
        <v>161.80721776196637</v>
      </c>
      <c r="J132" s="134">
        <f t="shared" ref="J132:O132" si="37">SUM(J133:J137)</f>
        <v>20.306378511720411</v>
      </c>
      <c r="K132" s="134">
        <f t="shared" si="37"/>
        <v>10685.642559807071</v>
      </c>
      <c r="L132" s="134">
        <f t="shared" si="37"/>
        <v>16973.880650530769</v>
      </c>
      <c r="M132" s="134">
        <f t="shared" si="37"/>
        <v>1982.8185454517929</v>
      </c>
      <c r="N132" s="134">
        <f t="shared" si="37"/>
        <v>1154.1565689027561</v>
      </c>
      <c r="O132" s="134">
        <f t="shared" si="37"/>
        <v>4119623.1798393079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Actividad'!$K129*'FE Sectorial'!$H132*'FE Sectorial'!I132*'FE Sectorial'!P132/1000</f>
        <v>264358.95652173914</v>
      </c>
      <c r="I133" s="17">
        <f>'Datos Actividad'!$K129*'FE Sectorial'!$H132*'FE Sectorial'!J132/1000/1000</f>
        <v>81.391304347826093</v>
      </c>
      <c r="J133" s="17">
        <f>'Datos Actividad'!$K129*'FE Sectorial'!$H132*'FE Sectorial'!K132/1000/1000</f>
        <v>10.852173913043478</v>
      </c>
      <c r="K133" s="17">
        <f>'Datos Actividad'!$K129*'FE Sectorial'!$H132*'FE Sectorial'!L132/1000/1000</f>
        <v>271.30434782608694</v>
      </c>
      <c r="L133" s="17">
        <f>'Datos Actividad'!$K129*'FE Sectorial'!$H132*'FE Sectorial'!M132/1000/1000</f>
        <v>13565.217391304348</v>
      </c>
      <c r="M133" s="17">
        <f>'Datos Actividad'!$K129*'FE Sectorial'!$H132*'FE Sectorial'!N132/1000/1000</f>
        <v>1627.8260869565217</v>
      </c>
      <c r="N133" s="17">
        <f>'Datos Actividad'!$K129*'FE Sectorial'!$H132*'FE Sectorial'!O132/1000/1000</f>
        <v>695.6521739130435</v>
      </c>
      <c r="O133" s="87">
        <f>IF(D133&lt;400,H133+I133*'Factores generales'!$M$41+J133*'Factores generales'!$N$41,I133*'Factores generales'!$M$41+J133*'Factores generales'!$N$41)</f>
        <v>5073.391304347826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Actividad'!$K130*'FE Sectorial'!$H133*'FE Sectorial'!I133*'FE Sectorial'!P133/1000</f>
        <v>3203381.1979192318</v>
      </c>
      <c r="I134" s="17">
        <f>'Datos Actividad'!$K130*'FE Sectorial'!$H133*'FE Sectorial'!J133/1000/1000</f>
        <v>57.388210176000001</v>
      </c>
      <c r="J134" s="17">
        <f>'Datos Actividad'!$K130*'FE Sectorial'!$H133*'FE Sectorial'!K133/1000/1000</f>
        <v>5.7388210176000003</v>
      </c>
      <c r="K134" s="17">
        <f>'Datos Actividad'!$K130*'FE Sectorial'!$H133*'FE Sectorial'!L133/1000/1000</f>
        <v>8608.231526399999</v>
      </c>
      <c r="L134" s="17">
        <f>'Datos Actividad'!$K130*'FE Sectorial'!$H133*'FE Sectorial'!M133/1000/1000</f>
        <v>2869.4105088000006</v>
      </c>
      <c r="M134" s="17">
        <f>'Datos Actividad'!$K130*'FE Sectorial'!$H133*'FE Sectorial'!N133/1000/1000</f>
        <v>286.94105087999998</v>
      </c>
      <c r="N134" s="17">
        <f>'Datos Actividad'!$K130*'FE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3206365.3848483837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Actividad'!$K131*'FE Sectorial'!$H134*'FE Sectorial'!I134*'FE Sectorial'!P134/1000</f>
        <v>556072.21790382115</v>
      </c>
      <c r="I135" s="17">
        <f>'Datos Actividad'!$K131*'FE Sectorial'!$H134*'FE Sectorial'!J134/1000/1000</f>
        <v>8.9015706655112297</v>
      </c>
      <c r="J135" s="17">
        <f>'Datos Actividad'!$K131*'FE Sectorial'!$H134*'FE Sectorial'!K134/1000/1000</f>
        <v>0.89015706655112303</v>
      </c>
      <c r="K135" s="17">
        <f>'Datos Actividad'!$K131*'FE Sectorial'!$H134*'FE Sectorial'!L134/1000/1000</f>
        <v>1335.2355998266844</v>
      </c>
      <c r="L135" s="17">
        <f>'Datos Actividad'!$K131*'FE Sectorial'!$H134*'FE Sectorial'!M134/1000/1000</f>
        <v>445.07853327556154</v>
      </c>
      <c r="M135" s="17">
        <f>'Datos Actividad'!$K131*'FE Sectorial'!$H134*'FE Sectorial'!N134/1000/1000</f>
        <v>44.507853327556148</v>
      </c>
      <c r="N135" s="17">
        <f>'Datos Actividad'!$K131*'FE Sectorial'!$H134*'FE Sectorial'!O134/1000/1000</f>
        <v>37.638776598356152</v>
      </c>
      <c r="O135" s="87">
        <f>IF(D135&lt;400,H135+I135*'Factores generales'!$M$41+J135*'Factores generales'!$N$41,I135*'Factores generales'!$M$41+J135*'Factores generales'!$N$41)</f>
        <v>556535.09957842773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Actividad'!$K132*'FE Sectorial'!$H135*'FE Sectorial'!I135*'FE Sectorial'!P135/1000</f>
        <v>232019.2942882941</v>
      </c>
      <c r="I136" s="17">
        <f>'Datos Actividad'!$K132*'FE Sectorial'!$H135*'FE Sectorial'!J135/1000/1000</f>
        <v>9.4883774705882349</v>
      </c>
      <c r="J136" s="17">
        <f>'Datos Actividad'!$K132*'FE Sectorial'!$H135*'FE Sectorial'!K135/1000/1000</f>
        <v>1.8976754941176468</v>
      </c>
      <c r="K136" s="17">
        <f>'Datos Actividad'!$K132*'FE Sectorial'!$H135*'FE Sectorial'!L135/1000/1000</f>
        <v>316.27924901960785</v>
      </c>
      <c r="L136" s="17">
        <f>'Datos Actividad'!$K132*'FE Sectorial'!$H135*'FE Sectorial'!M135/1000/1000</f>
        <v>63.255849803921571</v>
      </c>
      <c r="M136" s="17">
        <f>'Datos Actividad'!$K132*'FE Sectorial'!$H135*'FE Sectorial'!N135/1000/1000</f>
        <v>15.813962450980393</v>
      </c>
      <c r="N136" s="17">
        <f>'Datos Actividad'!$K132*'FE Sectorial'!$H135*'FE Sectorial'!O135/1000/1000</f>
        <v>114.74316941176471</v>
      </c>
      <c r="O136" s="87">
        <f>IF(D136&lt;400,H136+I136*'Factores generales'!$M$41+J136*'Factores generales'!$N$41,I136*'Factores generales'!$M$41+J136*'Factores generales'!$N$41)</f>
        <v>232806.82961835293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Actividad'!$K133*'FE Sectorial'!$H136*'FE Sectorial'!I136*'FE Sectorial'!P136/1000</f>
        <v>118457.54081632652</v>
      </c>
      <c r="I137" s="17">
        <f>'Datos Actividad'!$K133*'FE Sectorial'!$H136*'FE Sectorial'!J136/1000/1000</f>
        <v>4.6377551020408161</v>
      </c>
      <c r="J137" s="17">
        <f>'Datos Actividad'!$K133*'FE Sectorial'!$H136*'FE Sectorial'!K136/1000/1000</f>
        <v>0.92755102040816317</v>
      </c>
      <c r="K137" s="17">
        <f>'Datos Actividad'!$K133*'FE Sectorial'!$H136*'FE Sectorial'!L136/1000/1000</f>
        <v>154.59183673469389</v>
      </c>
      <c r="L137" s="17">
        <f>'Datos Actividad'!$K133*'FE Sectorial'!$H136*'FE Sectorial'!M136/1000/1000</f>
        <v>30.918367346938773</v>
      </c>
      <c r="M137" s="17">
        <f>'Datos Actividad'!$K133*'FE Sectorial'!$H136*'FE Sectorial'!N136/1000/1000</f>
        <v>7.7295918367346932</v>
      </c>
      <c r="N137" s="17">
        <f>'Datos Actividad'!$K133*'FE Sectorial'!$H136*'FE Sectorial'!O136/1000/1000</f>
        <v>306.12244897959181</v>
      </c>
      <c r="O137" s="87">
        <f>IF(D137&lt;400,H137+I137*'Factores generales'!$M$41+J137*'Factores generales'!$N$41,I137*'Factores generales'!$M$41+J137*'Factores generales'!$N$41)</f>
        <v>118842.4744897959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22763667.079035718</v>
      </c>
      <c r="I138" s="134">
        <f>SUM(I139:I144)</f>
        <v>2534.8636170794316</v>
      </c>
      <c r="J138" s="134">
        <f t="shared" ref="J138:O138" si="38">SUM(J139:J144)</f>
        <v>98.525885590139509</v>
      </c>
      <c r="K138" s="134">
        <f t="shared" si="38"/>
        <v>60273.956449631114</v>
      </c>
      <c r="L138" s="134">
        <f t="shared" si="38"/>
        <v>104564.61571126289</v>
      </c>
      <c r="M138" s="134">
        <f t="shared" si="38"/>
        <v>4710.1009571054428</v>
      </c>
      <c r="N138" s="134">
        <f t="shared" si="38"/>
        <v>1579.568413072619</v>
      </c>
      <c r="O138" s="134">
        <f t="shared" si="38"/>
        <v>22847442.23952733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Actividad'!$K135*'FE Sectorial'!$H138*'FE Sectorial'!I138*'FE Sectorial'!P138/1000</f>
        <v>277576.90434782609</v>
      </c>
      <c r="I139" s="17">
        <f>'Datos Actividad'!$K135*'FE Sectorial'!$H138*'FE Sectorial'!J138/1000/1000</f>
        <v>85.460869565217394</v>
      </c>
      <c r="J139" s="17">
        <f>'Datos Actividad'!$K135*'FE Sectorial'!$H138*'FE Sectorial'!K138/1000/1000</f>
        <v>11.394782608695651</v>
      </c>
      <c r="K139" s="17">
        <f>'Datos Actividad'!$K135*'FE Sectorial'!$H138*'FE Sectorial'!L138/1000/1000</f>
        <v>284.86956521739131</v>
      </c>
      <c r="L139" s="17">
        <f>'Datos Actividad'!$K135*'FE Sectorial'!$H138*'FE Sectorial'!M138/1000/1000</f>
        <v>14243.478260869566</v>
      </c>
      <c r="M139" s="17">
        <f>'Datos Actividad'!$K135*'FE Sectorial'!$H138*'FE Sectorial'!N138/1000/1000</f>
        <v>1709.2173913043478</v>
      </c>
      <c r="N139" s="17">
        <f>'Datos Actividad'!$K135*'FE Sectorial'!$H138*'FE Sectorial'!O138/1000/1000</f>
        <v>730.43478260869563</v>
      </c>
      <c r="O139" s="87">
        <f>IF(D139&lt;400,H139+I139*'Factores generales'!$M$41+J139*'Factores generales'!$N$41,I139*'Factores generales'!$M$41+J139*'Factores generales'!$N$41)</f>
        <v>5327.0608695652172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Actividad'!$K136*'FE Sectorial'!$H139*'FE Sectorial'!I139*'FE Sectorial'!P139/1000</f>
        <v>0</v>
      </c>
      <c r="I140" s="17">
        <f>'Datos Actividad'!$K136*'FE Sectorial'!$H139*'FE Sectorial'!J139/1000/1000</f>
        <v>0</v>
      </c>
      <c r="J140" s="17">
        <f>'Datos Actividad'!$K136*'FE Sectorial'!$H139*'FE Sectorial'!K139/1000/1000</f>
        <v>0</v>
      </c>
      <c r="K140" s="17">
        <f>'Datos Actividad'!$K136*'FE Sectorial'!$H139*'FE Sectorial'!L139/1000/1000</f>
        <v>0</v>
      </c>
      <c r="L140" s="17">
        <f>'Datos Actividad'!$K136*'FE Sectorial'!$H139*'FE Sectorial'!M139/1000/1000</f>
        <v>0</v>
      </c>
      <c r="M140" s="17">
        <f>'Datos Actividad'!$K136*'FE Sectorial'!$H139*'FE Sectorial'!N139/1000/1000</f>
        <v>0</v>
      </c>
      <c r="N140" s="17">
        <f>'Datos Actividad'!$K136*'FE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Actividad'!$K137*'FE Sectorial'!$H140*'FE Sectorial'!I140*'FE Sectorial'!P140/1000</f>
        <v>18454379.850739006</v>
      </c>
      <c r="I141" s="17">
        <f>'Datos Actividad'!$K137*'FE Sectorial'!$H140*'FE Sectorial'!J140/1000/1000</f>
        <v>330.608118144</v>
      </c>
      <c r="J141" s="17">
        <f>'Datos Actividad'!$K137*'FE Sectorial'!$H140*'FE Sectorial'!K140/1000/1000</f>
        <v>33.060811814400004</v>
      </c>
      <c r="K141" s="17">
        <f>'Datos Actividad'!$K137*'FE Sectorial'!$H140*'FE Sectorial'!L140/1000/1000</f>
        <v>49591.217721599998</v>
      </c>
      <c r="L141" s="17">
        <f>'Datos Actividad'!$K137*'FE Sectorial'!$H140*'FE Sectorial'!M140/1000/1000</f>
        <v>16530.405907199998</v>
      </c>
      <c r="M141" s="17">
        <f>'Datos Actividad'!$K137*'FE Sectorial'!$H140*'FE Sectorial'!N140/1000/1000</f>
        <v>1653.04059072</v>
      </c>
      <c r="N141" s="17">
        <f>'Datos Actividad'!$K137*'FE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18471571.472882494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Actividad'!$K138*'FE Sectorial'!$H141*'FE Sectorial'!I141*'FE Sectorial'!P141/1000</f>
        <v>3336433.3074229266</v>
      </c>
      <c r="I142" s="17">
        <f>'Datos Actividad'!$K138*'FE Sectorial'!$H141*'FE Sectorial'!J141/1000/1000</f>
        <v>53.409423993067385</v>
      </c>
      <c r="J142" s="17">
        <f>'Datos Actividad'!$K138*'FE Sectorial'!$H141*'FE Sectorial'!K141/1000/1000</f>
        <v>5.3409423993067389</v>
      </c>
      <c r="K142" s="17">
        <f>'Datos Actividad'!$K138*'FE Sectorial'!$H141*'FE Sectorial'!L141/1000/1000</f>
        <v>8011.4135989601082</v>
      </c>
      <c r="L142" s="17">
        <f>'Datos Actividad'!$K138*'FE Sectorial'!$H141*'FE Sectorial'!M141/1000/1000</f>
        <v>2670.4711996533688</v>
      </c>
      <c r="M142" s="17">
        <f>'Datos Actividad'!$K138*'FE Sectorial'!$H141*'FE Sectorial'!N141/1000/1000</f>
        <v>267.04711996533695</v>
      </c>
      <c r="N142" s="17">
        <f>'Datos Actividad'!$K138*'FE Sectorial'!$H141*'FE Sectorial'!O141/1000/1000</f>
        <v>225.83265959013698</v>
      </c>
      <c r="O142" s="87">
        <f>IF(D142&lt;400,H142+I142*'Factores generales'!$M$41+J142*'Factores generales'!$N$41,I142*'Factores generales'!$M$41+J142*'Factores generales'!$N$41)</f>
        <v>3339210.5974705662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Actividad'!$K139*'FE Sectorial'!$H142*'FE Sectorial'!I142*'FE Sectorial'!P142/1000</f>
        <v>972853.92087378644</v>
      </c>
      <c r="I143" s="17">
        <f>'Datos Actividad'!$K139*'FE Sectorial'!$H142*'FE Sectorial'!J142/1000/1000</f>
        <v>41.23135922330097</v>
      </c>
      <c r="J143" s="17">
        <f>'Datos Actividad'!$K139*'FE Sectorial'!$H142*'FE Sectorial'!K142/1000/1000</f>
        <v>8.2462718446601944</v>
      </c>
      <c r="K143" s="17">
        <f>'Datos Actividad'!$K139*'FE Sectorial'!$H142*'FE Sectorial'!L142/1000/1000</f>
        <v>1374.3786407766993</v>
      </c>
      <c r="L143" s="17">
        <f>'Datos Actividad'!$K139*'FE Sectorial'!$H142*'FE Sectorial'!M142/1000/1000</f>
        <v>274.87572815533986</v>
      </c>
      <c r="M143" s="17">
        <f>'Datos Actividad'!$K139*'FE Sectorial'!$H142*'FE Sectorial'!N142/1000/1000</f>
        <v>68.718932038834964</v>
      </c>
      <c r="N143" s="17">
        <f>'Datos Actividad'!$K139*'FE Sectorial'!$H142*'FE Sectorial'!O142/1000/1000</f>
        <v>623.30097087378635</v>
      </c>
      <c r="O143" s="87">
        <f>IF(D143&lt;400,H143+I143*'Factores generales'!$M$41+J143*'Factores generales'!$N$41,I143*'Factores generales'!$M$41+J143*'Factores generales'!$N$41)</f>
        <v>976276.1236893204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Actividad'!$K140*'FE Sectorial'!$H143*'FE Sectorial'!I143*'FE Sectorial'!P143/1000</f>
        <v>986167.75384615373</v>
      </c>
      <c r="I144" s="17">
        <f>'Datos Actividad'!$K140*'FE Sectorial'!$H143*'FE Sectorial'!J143/1000/1000</f>
        <v>2024.153846153846</v>
      </c>
      <c r="J144" s="17">
        <f>'Datos Actividad'!$K140*'FE Sectorial'!$H143*'FE Sectorial'!K143/1000/1000</f>
        <v>40.483076923076922</v>
      </c>
      <c r="K144" s="17">
        <f>'Datos Actividad'!$K140*'FE Sectorial'!$H143*'FE Sectorial'!L143/1000/1000</f>
        <v>1012.076923076923</v>
      </c>
      <c r="L144" s="17">
        <f>'Datos Actividad'!$K140*'FE Sectorial'!$H143*'FE Sectorial'!M143/1000/1000</f>
        <v>70845.38461538461</v>
      </c>
      <c r="M144" s="17">
        <f>'Datos Actividad'!$K140*'FE Sectorial'!$H143*'FE Sectorial'!N143/1000/1000</f>
        <v>1012.076923076923</v>
      </c>
      <c r="N144" s="17">
        <f>'Datos Actividad'!$K140*'FE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55056.984615384616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9258503.1034255419</v>
      </c>
      <c r="I145" s="134">
        <f t="shared" ref="I145:O145" si="39">SUM(I146:I149)</f>
        <v>372.88828324247368</v>
      </c>
      <c r="J145" s="134">
        <f t="shared" si="39"/>
        <v>74.206757870765102</v>
      </c>
      <c r="K145" s="134">
        <f t="shared" si="39"/>
        <v>148228.06635266542</v>
      </c>
      <c r="L145" s="134">
        <f t="shared" si="39"/>
        <v>123245.21454392394</v>
      </c>
      <c r="M145" s="134">
        <f t="shared" si="39"/>
        <v>24630.497969898308</v>
      </c>
      <c r="N145" s="134">
        <f t="shared" si="39"/>
        <v>4748.6394064699489</v>
      </c>
      <c r="O145" s="134">
        <f t="shared" si="39"/>
        <v>9289337.8523135707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Actividad'!$K142*'FE Sectorial'!$H145*'FE Sectorial'!I145*'FE Sectorial'!P145/1000</f>
        <v>231696.75745992546</v>
      </c>
      <c r="I146" s="17">
        <f>'Datos Actividad'!$K142*'FE Sectorial'!$H145*'FE Sectorial'!J145/1000/1000</f>
        <v>3.7089877772963464</v>
      </c>
      <c r="J146" s="17">
        <f>'Datos Actividad'!$K142*'FE Sectorial'!$H145*'FE Sectorial'!K145/1000/1000</f>
        <v>0.3708987777296347</v>
      </c>
      <c r="K146" s="17">
        <f>'Datos Actividad'!$K142*'FE Sectorial'!$H145*'FE Sectorial'!L145/1000/1000</f>
        <v>556.34816659445198</v>
      </c>
      <c r="L146" s="17">
        <f>'Datos Actividad'!$K142*'FE Sectorial'!$H145*'FE Sectorial'!M145/1000/1000</f>
        <v>185.44938886481734</v>
      </c>
      <c r="M146" s="17">
        <f>'Datos Actividad'!$K142*'FE Sectorial'!$H145*'FE Sectorial'!N145/1000/1000</f>
        <v>18.544938886481734</v>
      </c>
      <c r="N146" s="17">
        <f>'Datos Actividad'!$K142*'FE Sectorial'!$H145*'FE Sectorial'!O145/1000/1000</f>
        <v>15.682823582648403</v>
      </c>
      <c r="O146" s="87">
        <f>IF(D146&lt;400,H146+I146*'Factores generales'!$M$41+J146*'Factores generales'!$N$41,I146*'Factores generales'!$M$41+J146*'Factores generales'!$N$41)</f>
        <v>231889.62482434485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Actividad'!$K143*'FE Sectorial'!$H146*'FE Sectorial'!I146*'FE Sectorial'!P146/1000</f>
        <v>102777.9260869565</v>
      </c>
      <c r="I147" s="17">
        <f>'Datos Actividad'!$K143*'FE Sectorial'!$H146*'FE Sectorial'!J146/1000/1000</f>
        <v>4.494202898550725</v>
      </c>
      <c r="J147" s="17">
        <f>'Datos Actividad'!$K143*'FE Sectorial'!$H146*'FE Sectorial'!K146/1000/1000</f>
        <v>0.89884057971014475</v>
      </c>
      <c r="K147" s="17">
        <f>'Datos Actividad'!$K143*'FE Sectorial'!$H146*'FE Sectorial'!L146/1000/1000</f>
        <v>1797.6811594202898</v>
      </c>
      <c r="L147" s="17">
        <f>'Datos Actividad'!$K143*'FE Sectorial'!$H146*'FE Sectorial'!M146/1000/1000</f>
        <v>1498.0676328502414</v>
      </c>
      <c r="M147" s="17">
        <f>'Datos Actividad'!$K143*'FE Sectorial'!$H146*'FE Sectorial'!N146/1000/1000</f>
        <v>299.61352657004829</v>
      </c>
      <c r="N147" s="17">
        <f>'Datos Actividad'!$K143*'FE Sectorial'!$H146*'FE Sectorial'!O146/1000/1000</f>
        <v>6.7632850241545892</v>
      </c>
      <c r="O147" s="87">
        <f>IF(D147&lt;400,H147+I147*'Factores generales'!$M$41+J147*'Factores generales'!$N$41,I147*'Factores generales'!$M$41+J147*'Factores generales'!$N$41)</f>
        <v>103150.94492753621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Actividad'!$K144*'FE Sectorial'!$H147*'FE Sectorial'!I147*'FE Sectorial'!P147/1000</f>
        <v>8774298.0882868227</v>
      </c>
      <c r="I148" s="17">
        <f>'Datos Actividad'!$K144*'FE Sectorial'!$H147*'FE Sectorial'!J147/1000/1000</f>
        <v>358.822970117647</v>
      </c>
      <c r="J148" s="17">
        <f>'Datos Actividad'!$K144*'FE Sectorial'!$H147*'FE Sectorial'!K147/1000/1000</f>
        <v>71.764594023529412</v>
      </c>
      <c r="K148" s="17">
        <f>'Datos Actividad'!$K144*'FE Sectorial'!$H147*'FE Sectorial'!L147/1000/1000</f>
        <v>143529.18804705885</v>
      </c>
      <c r="L148" s="17">
        <f>'Datos Actividad'!$K144*'FE Sectorial'!$H147*'FE Sectorial'!M147/1000/1000</f>
        <v>119607.65670588236</v>
      </c>
      <c r="M148" s="17">
        <f>'Datos Actividad'!$K144*'FE Sectorial'!$H147*'FE Sectorial'!N147/1000/1000</f>
        <v>23921.531341176473</v>
      </c>
      <c r="N148" s="17">
        <f>'Datos Actividad'!$K144*'FE Sectorial'!$H147*'FE Sectorial'!O147/1000/1000</f>
        <v>4339.2545223529414</v>
      </c>
      <c r="O148" s="87">
        <f>IF(D148&lt;400,H148+I148*'Factores generales'!$M$41+J148*'Factores generales'!$N$41,I148*'Factores generales'!$M$41+J148*'Factores generales'!$N$41)</f>
        <v>8804080.3948065881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Actividad'!$K145*'FE Sectorial'!$H148*'FE Sectorial'!I148*'FE Sectorial'!P148/1000</f>
        <v>149730.33159183673</v>
      </c>
      <c r="I149" s="17">
        <f>'Datos Actividad'!$K145*'FE Sectorial'!$H148*'FE Sectorial'!J148/1000/1000</f>
        <v>5.8621224489795924</v>
      </c>
      <c r="J149" s="17">
        <f>'Datos Actividad'!$K145*'FE Sectorial'!$H148*'FE Sectorial'!K148/1000/1000</f>
        <v>1.1724244897959184</v>
      </c>
      <c r="K149" s="17">
        <f>'Datos Actividad'!$K145*'FE Sectorial'!$H148*'FE Sectorial'!L148/1000/1000</f>
        <v>2344.8489795918372</v>
      </c>
      <c r="L149" s="17">
        <f>'Datos Actividad'!$K145*'FE Sectorial'!$H148*'FE Sectorial'!M148/1000/1000</f>
        <v>1954.0408163265306</v>
      </c>
      <c r="M149" s="17">
        <f>'Datos Actividad'!$K145*'FE Sectorial'!$H148*'FE Sectorial'!N148/1000/1000</f>
        <v>390.80816326530612</v>
      </c>
      <c r="N149" s="17">
        <f>'Datos Actividad'!$K145*'FE Sectorial'!$H148*'FE Sectorial'!O148/1000/1000</f>
        <v>386.9387755102041</v>
      </c>
      <c r="O149" s="87">
        <f>IF(D149&lt;400,H149+I149*'Factores generales'!$M$41+J149*'Factores generales'!$N$41,I149*'Factores generales'!$M$41+J149*'Factores generales'!$N$41)</f>
        <v>150216.88775510201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Actividad'!$K147*'FE Sectorial'!$H150*'FE Sectorial'!I150*'FE Sectorial'!P150/1000</f>
        <v>0</v>
      </c>
      <c r="I151" s="134">
        <f>'Datos Actividad'!$K147*'FE Sectorial'!$H150*'FE Sectorial'!J150/1000/1000</f>
        <v>0</v>
      </c>
      <c r="J151" s="134">
        <f>'Datos Actividad'!$K147*'FE Sectorial'!$H150*'FE Sectorial'!K150/1000/1000</f>
        <v>0</v>
      </c>
      <c r="K151" s="134">
        <f>'Datos Actividad'!$K147*'FE Sectorial'!$H150*'FE Sectorial'!L150/1000/1000</f>
        <v>0</v>
      </c>
      <c r="L151" s="134">
        <f>'Datos Actividad'!$K147*'FE Sectorial'!$H150*'FE Sectorial'!M150/1000/1000</f>
        <v>0</v>
      </c>
      <c r="M151" s="134">
        <f>'Datos Actividad'!$K147*'FE Sectorial'!$H150*'FE Sectorial'!N150/1000/1000</f>
        <v>0</v>
      </c>
      <c r="N151" s="134">
        <f>'Datos Actividad'!$K147*'FE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Actividad'!$K148*'FE Sectorial'!$H151*'FE Sectorial'!I151*'FE Sectorial'!P151/1000</f>
        <v>0</v>
      </c>
      <c r="I152" s="134">
        <f>'Datos Actividad'!$K148*'FE Sectorial'!$H151*'FE Sectorial'!J151/1000/1000</f>
        <v>0</v>
      </c>
      <c r="J152" s="134">
        <f>'Datos Actividad'!$K148*'FE Sectorial'!$H151*'FE Sectorial'!K151/1000/1000</f>
        <v>0</v>
      </c>
      <c r="K152" s="134">
        <f>'Datos Actividad'!$K148*'FE Sectorial'!$H151*'FE Sectorial'!L151/1000/1000</f>
        <v>0</v>
      </c>
      <c r="L152" s="134">
        <f>'Datos Actividad'!$K148*'FE Sectorial'!$H151*'FE Sectorial'!M151/1000/1000</f>
        <v>0</v>
      </c>
      <c r="M152" s="134">
        <f>'Datos Actividad'!$K148*'FE Sectorial'!$H151*'FE Sectorial'!N151/1000/1000</f>
        <v>0</v>
      </c>
      <c r="N152" s="134">
        <f>'Datos Actividad'!$K148*'FE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5263992.2756389519</v>
      </c>
      <c r="I153" s="124">
        <f t="shared" ref="I153:N153" si="41">I154+I168</f>
        <v>375567.48848017724</v>
      </c>
      <c r="J153" s="124">
        <f t="shared" si="41"/>
        <v>31.988443701068935</v>
      </c>
      <c r="K153" s="124">
        <f t="shared" si="41"/>
        <v>1725.9466108429017</v>
      </c>
      <c r="L153" s="124">
        <f t="shared" si="41"/>
        <v>2761.5042973600002</v>
      </c>
      <c r="M153" s="124">
        <f t="shared" si="41"/>
        <v>123037.86086375147</v>
      </c>
      <c r="N153" s="124">
        <f t="shared" si="41"/>
        <v>27615.042973600001</v>
      </c>
      <c r="O153" s="124">
        <f>IF(D153&lt;400,H153+I153*'Factores generales'!$M$41+J153*'Factores generales'!$N$41,I153*'Factores generales'!$M$41+J153*'Factores generales'!$N$41)</f>
        <v>13160825.951270005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5263992.2756389519</v>
      </c>
      <c r="I168" s="129">
        <f t="shared" ref="I168:O168" si="44">I169+I188+I204</f>
        <v>372855.89709981816</v>
      </c>
      <c r="J168" s="129">
        <f t="shared" si="44"/>
        <v>31.988443701068935</v>
      </c>
      <c r="K168" s="129">
        <f t="shared" si="44"/>
        <v>1725.9466108429017</v>
      </c>
      <c r="L168" s="129">
        <f t="shared" si="44"/>
        <v>2761.5042973600002</v>
      </c>
      <c r="M168" s="129">
        <f t="shared" si="44"/>
        <v>123037.86086375147</v>
      </c>
      <c r="N168" s="129">
        <f t="shared" si="44"/>
        <v>27615.042973600001</v>
      </c>
      <c r="O168" s="129">
        <f t="shared" si="44"/>
        <v>13103882.532282464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45607.167772974077</v>
      </c>
      <c r="I169" s="134">
        <f t="shared" ref="I169:O169" si="45">SUM(I170:I187)</f>
        <v>13353.734557658434</v>
      </c>
      <c r="J169" s="134">
        <f t="shared" si="45"/>
        <v>0.32026368323617338</v>
      </c>
      <c r="K169" s="134">
        <f t="shared" si="45"/>
        <v>1725.9466108429017</v>
      </c>
      <c r="L169" s="134">
        <f t="shared" si="45"/>
        <v>2761.5042973600002</v>
      </c>
      <c r="M169" s="134">
        <f t="shared" si="45"/>
        <v>73707.374397066538</v>
      </c>
      <c r="N169" s="134">
        <f t="shared" si="45"/>
        <v>27615.042973600001</v>
      </c>
      <c r="O169" s="134">
        <f t="shared" si="45"/>
        <v>326134.8752256044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Actividad'!$K167*'FE Sectorial'!I170*1000</f>
        <v>1003.3862617742027</v>
      </c>
      <c r="I171" s="92">
        <f>'Datos Actividad'!$K167*'FE Sectorial'!J170*1000</f>
        <v>21.30623192986312</v>
      </c>
      <c r="J171" s="92">
        <f>'Datos Actividad'!$K167*'FE Sectorial'!K170*1000</f>
        <v>7.3843889388357647E-3</v>
      </c>
      <c r="K171" s="92">
        <f>'Datos Actividad'!$K167*'FE Sectorial'!L170*1000</f>
        <v>0</v>
      </c>
      <c r="L171" s="92">
        <f>'Datos Actividad'!$K167*'FE Sectorial'!M170*1000</f>
        <v>0</v>
      </c>
      <c r="M171" s="92">
        <f>'Datos Actividad'!$K167*'FE Sectorial'!N170*1000</f>
        <v>3.2830657147424507</v>
      </c>
      <c r="N171" s="92">
        <f>'Datos Actividad'!$K167*'FE Sectorial'!O170*1000</f>
        <v>0</v>
      </c>
      <c r="O171" s="87">
        <f>IF(D171&lt;400,H171+I171*'Factores generales'!$M$41+J171*'Factores generales'!$N$41,I171*'Factores generales'!$M$41+J171*'Factores generales'!$N$41)</f>
        <v>1453.1062928723672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Actividad'!$K168*'FE Sectorial'!I171*1000</f>
        <v>3344.6208725806755</v>
      </c>
      <c r="I172" s="92">
        <f>'Datos Actividad'!$K168*'FE Sectorial'!J171*1000</f>
        <v>71.020773099543732</v>
      </c>
      <c r="J172" s="92">
        <f>'Datos Actividad'!$K168*'FE Sectorial'!K171*1000</f>
        <v>2.4614629796119218E-2</v>
      </c>
      <c r="K172" s="92">
        <f>'Datos Actividad'!$K168*'FE Sectorial'!L171*1000</f>
        <v>0</v>
      </c>
      <c r="L172" s="92">
        <f>'Datos Actividad'!$K168*'FE Sectorial'!M171*1000</f>
        <v>0</v>
      </c>
      <c r="M172" s="92">
        <f>'Datos Actividad'!$K168*'FE Sectorial'!N171*1000</f>
        <v>10.943552382474834</v>
      </c>
      <c r="N172" s="92">
        <f>'Datos Actividad'!$K168*'FE Sectorial'!O171*1000</f>
        <v>0</v>
      </c>
      <c r="O172" s="87">
        <f>IF(D172&lt;400,H172+I172*'Factores generales'!$M$41+J172*'Factores generales'!$N$41,I172*'Factores generales'!$M$41+J172*'Factores generales'!$N$41)</f>
        <v>4843.6876429078911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Actividad'!$K169*'FE Sectorial'!I172*1000</f>
        <v>39169.226663333691</v>
      </c>
      <c r="I173" s="92">
        <f>'Datos Actividad'!$K169*'FE Sectorial'!J172*1000</f>
        <v>831.73216496576765</v>
      </c>
      <c r="J173" s="92">
        <f>'Datos Actividad'!$K169*'FE Sectorial'!K172*1000</f>
        <v>0.2882646645012184</v>
      </c>
      <c r="K173" s="92">
        <f>'Datos Actividad'!$K169*'FE Sectorial'!L172*1000</f>
        <v>0</v>
      </c>
      <c r="L173" s="92">
        <f>'Datos Actividad'!$K169*'FE Sectorial'!M172*1000</f>
        <v>0</v>
      </c>
      <c r="M173" s="92">
        <f>'Datos Actividad'!$K169*'FE Sectorial'!N172*1000</f>
        <v>128.16115790142752</v>
      </c>
      <c r="N173" s="92">
        <f>'Datos Actividad'!$K169*'FE Sectorial'!O172*1000</f>
        <v>0</v>
      </c>
      <c r="O173" s="87">
        <f>IF(D173&lt;400,H173+I173*'Factores generales'!$M$41+J173*'Factores generales'!$N$41,I173*'Factores generales'!$M$41+J173*'Factores generales'!$N$41)</f>
        <v>56724.964173610184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Actividad'!$K171*'FE Sectorial'!I174</f>
        <v>824.36987770231451</v>
      </c>
      <c r="I175" s="92">
        <f>'Datos Actividad'!$K171*'FE Sectorial'!J174</f>
        <v>11371.370208089998</v>
      </c>
      <c r="J175" s="92">
        <f>'Datos Actividad'!$K171*'FE Sectorial'!K174</f>
        <v>0</v>
      </c>
      <c r="K175" s="92">
        <f>'Datos Actividad'!$K171*'FE Sectorial'!L174</f>
        <v>0</v>
      </c>
      <c r="L175" s="92">
        <f>'Datos Actividad'!$K171*'FE Sectorial'!M174</f>
        <v>0</v>
      </c>
      <c r="M175" s="92">
        <f>'Datos Actividad'!$K171*'FE Sectorial'!N174</f>
        <v>13927.027343053334</v>
      </c>
      <c r="N175" s="92">
        <f>'Datos Actividad'!$K171*'FE Sectorial'!O174</f>
        <v>0</v>
      </c>
      <c r="O175" s="87">
        <f>IF(D175&lt;400,H175+I175*'Factores generales'!$M$41+J175*'Factores generales'!$N$41,I175*'Factores generales'!$M$41+J175*'Factores generales'!$N$41)</f>
        <v>239623.14424759228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Actividad'!$K173*'FE Sectorial'!I176</f>
        <v>0</v>
      </c>
      <c r="I177" s="92">
        <f>'Datos Actividad'!$K173*'FE Sectorial'!J176</f>
        <v>501.05427582512971</v>
      </c>
      <c r="J177" s="92">
        <f>'Datos Actividad'!$K173*'FE Sectorial'!K176</f>
        <v>0</v>
      </c>
      <c r="K177" s="92">
        <f>'Datos Actividad'!$K173*'FE Sectorial'!L176</f>
        <v>0</v>
      </c>
      <c r="L177" s="92">
        <f>'Datos Actividad'!$K173*'FE Sectorial'!M176</f>
        <v>0</v>
      </c>
      <c r="M177" s="92">
        <f>'Datos Actividad'!$K173*'FE Sectorial'!N176</f>
        <v>0</v>
      </c>
      <c r="N177" s="92">
        <f>'Datos Actividad'!$K173*'FE Sectorial'!O176</f>
        <v>0</v>
      </c>
      <c r="O177" s="87">
        <f>IF(D177&lt;400,H177+I177*'Factores generales'!$M$41+J177*'Factores generales'!$N$41,I177*'Factores generales'!$M$41+J177*'Factores generales'!$N$41)</f>
        <v>10522.139792327724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Actividad'!$K174*'FE Sectorial'!I177</f>
        <v>9.7700304437469985</v>
      </c>
      <c r="I178" s="92">
        <f>'Datos Actividad'!$K174*'FE Sectorial'!J177</f>
        <v>107.66972325761999</v>
      </c>
      <c r="J178" s="92">
        <f>'Datos Actividad'!$K174*'FE Sectorial'!K177</f>
        <v>0</v>
      </c>
      <c r="K178" s="92">
        <f>'Datos Actividad'!$K174*'FE Sectorial'!L177</f>
        <v>0</v>
      </c>
      <c r="L178" s="92">
        <f>'Datos Actividad'!$K174*'FE Sectorial'!M177</f>
        <v>0</v>
      </c>
      <c r="M178" s="92">
        <f>'Datos Actividad'!$K174*'FE Sectorial'!N177</f>
        <v>1076.6972325761999</v>
      </c>
      <c r="N178" s="92">
        <f>'Datos Actividad'!$K174*'FE Sectorial'!O177</f>
        <v>0</v>
      </c>
      <c r="O178" s="87">
        <f>IF(D178&lt;400,H178+I178*'Factores generales'!$M$41+J178*'Factores generales'!$N$41,I178*'Factores generales'!$M$41+J178*'Factores generales'!$N$41)</f>
        <v>2270.8342188537672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Actividad'!$K177*'FE Sectorial'!I180</f>
        <v>0</v>
      </c>
      <c r="I181" s="92">
        <f>'Datos Actividad'!$K177*'FE Sectorial'!J180</f>
        <v>356.39724543215198</v>
      </c>
      <c r="J181" s="92">
        <f>'Datos Actividad'!$K177*'FE Sectorial'!K180</f>
        <v>0</v>
      </c>
      <c r="K181" s="92">
        <f>'Datos Actividad'!$K177*'FE Sectorial'!L180</f>
        <v>1725.94018585</v>
      </c>
      <c r="L181" s="92">
        <f>'Datos Actividad'!$K177*'FE Sectorial'!M180</f>
        <v>2761.5042973600002</v>
      </c>
      <c r="M181" s="92">
        <f>'Datos Actividad'!$K177*'FE Sectorial'!N180</f>
        <v>44874.444832100002</v>
      </c>
      <c r="N181" s="92">
        <f>'Datos Actividad'!$K177*'FE Sectorial'!O180</f>
        <v>27615.042973600001</v>
      </c>
      <c r="O181" s="87">
        <f>IF(D181&lt;400,H181+I181*'Factores generales'!$M$41+J181*'Factores generales'!$N$41,I181*'Factores generales'!$M$41+J181*'Factores generales'!$N$41)</f>
        <v>7484.3421540751915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Actividad'!$K179*'FE Sectorial'!I182</f>
        <v>0</v>
      </c>
      <c r="I183" s="92">
        <f>'Datos Actividad'!$K179*'FE Sectorial'!J182</f>
        <v>93.183935058357918</v>
      </c>
      <c r="J183" s="92">
        <f>'Datos Actividad'!$K179*'FE Sectorial'!K182</f>
        <v>0</v>
      </c>
      <c r="K183" s="92">
        <f>'Datos Actividad'!$K179*'FE Sectorial'!L182</f>
        <v>0</v>
      </c>
      <c r="L183" s="92">
        <f>'Datos Actividad'!$K179*'FE Sectorial'!M182</f>
        <v>0</v>
      </c>
      <c r="M183" s="92">
        <f>'Datos Actividad'!$K179*'FE Sectorial'!N182</f>
        <v>0</v>
      </c>
      <c r="N183" s="92">
        <f>'Datos Actividad'!$K179*'FE Sectorial'!O182</f>
        <v>0</v>
      </c>
      <c r="O183" s="87">
        <f>IF(D183&lt;400,H183+I183*'Factores generales'!$M$41+J183*'Factores generales'!$N$41,I183*'Factores generales'!$M$41+J183*'Factores generales'!$N$41)</f>
        <v>1956.8626362255163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Actividad'!$K181*'FE Sectorial'!I184</f>
        <v>0</v>
      </c>
      <c r="I185" s="92">
        <f>'Datos Actividad'!$K181*'FE Sectorial'!J184</f>
        <v>0</v>
      </c>
      <c r="J185" s="92">
        <f>'Datos Actividad'!$K181*'FE Sectorial'!K184</f>
        <v>0</v>
      </c>
      <c r="K185" s="92">
        <f>'Datos Actividad'!$K181*'FE Sectorial'!L184</f>
        <v>0</v>
      </c>
      <c r="L185" s="92">
        <f>'Datos Actividad'!$K181*'FE Sectorial'!M184</f>
        <v>0</v>
      </c>
      <c r="M185" s="92">
        <f>'Datos Actividad'!$K181*'FE Sectorial'!N184</f>
        <v>13686.817213338352</v>
      </c>
      <c r="N185" s="92">
        <f>'Datos Actividad'!$K181*'FE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Actividad'!$K182*'FE Sectorial'!I185</f>
        <v>1255.7940671394435</v>
      </c>
      <c r="I186" s="92">
        <f>'Datos Actividad'!$K182*'FE Sectorial'!J185</f>
        <v>0</v>
      </c>
      <c r="J186" s="92">
        <f>'Datos Actividad'!$K182*'FE Sectorial'!K185</f>
        <v>0</v>
      </c>
      <c r="K186" s="92">
        <f>'Datos Actividad'!$K182*'FE Sectorial'!L185</f>
        <v>6.4249929016436651E-3</v>
      </c>
      <c r="L186" s="92">
        <f>'Datos Actividad'!$K182*'FE Sectorial'!M185</f>
        <v>0</v>
      </c>
      <c r="M186" s="92">
        <f>'Datos Actividad'!$K182*'FE Sectorial'!N185</f>
        <v>0</v>
      </c>
      <c r="N186" s="92">
        <f>'Datos Actividad'!$K182*'FE Sectorial'!O185</f>
        <v>0</v>
      </c>
      <c r="O186" s="87">
        <f>IF(D186&lt;400,H186+I186*'Factores generales'!$M$41+J186*'Factores generales'!$N$41,I186*'Factores generales'!$M$41+J186*'Factores generales'!$N$41)</f>
        <v>1255.7940671394435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6250.0853862415115</v>
      </c>
      <c r="I188" s="134">
        <f t="shared" ref="I188:O188" si="46">SUM(I189:I203)</f>
        <v>318582.63332193036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28868.956189887744</v>
      </c>
      <c r="N188" s="134">
        <f t="shared" si="46"/>
        <v>0</v>
      </c>
      <c r="O188" s="134">
        <f t="shared" si="46"/>
        <v>6696485.3851467781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Actividad'!$K187*'FE Sectorial'!I190</f>
        <v>2558.7315294769492</v>
      </c>
      <c r="I191" s="92">
        <f>'Datos Actividad'!$K187*'FE Sectorial'!J190</f>
        <v>153929.50381438501</v>
      </c>
      <c r="J191" s="92">
        <f>'Datos Actividad'!$K187*'FE Sectorial'!K190</f>
        <v>0</v>
      </c>
      <c r="K191" s="92">
        <f>'Datos Actividad'!$K187*'FE Sectorial'!L190</f>
        <v>0</v>
      </c>
      <c r="L191" s="92">
        <f>'Datos Actividad'!$K187*'FE Sectorial'!M190</f>
        <v>0</v>
      </c>
      <c r="M191" s="92">
        <f>'Datos Actividad'!$K187*'FE Sectorial'!N190</f>
        <v>16843.632973046799</v>
      </c>
      <c r="N191" s="92">
        <f>'Datos Actividad'!$K187*'FE Sectorial'!O190</f>
        <v>0</v>
      </c>
      <c r="O191" s="87">
        <f>IF(D191&lt;400,H191+I191*'Factores generales'!$M$41+J191*'Factores generales'!$N$41,I191*'Factores generales'!$M$41+J191*'Factores generales'!$N$41)</f>
        <v>3235078.3116315622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Actividad'!$K189*'FE Sectorial'!I192</f>
        <v>934.31665152947994</v>
      </c>
      <c r="I193" s="92">
        <f>'Datos Actividad'!$K189*'FE Sectorial'!J192</f>
        <v>11678.958144118502</v>
      </c>
      <c r="J193" s="92">
        <f>'Datos Actividad'!$K189*'FE Sectorial'!K192</f>
        <v>0</v>
      </c>
      <c r="K193" s="92">
        <f>'Datos Actividad'!$K189*'FE Sectorial'!L192</f>
        <v>0</v>
      </c>
      <c r="L193" s="92">
        <f>'Datos Actividad'!$K189*'FE Sectorial'!M192</f>
        <v>0</v>
      </c>
      <c r="M193" s="92">
        <f>'Datos Actividad'!$K189*'FE Sectorial'!N192</f>
        <v>10788.5594053779</v>
      </c>
      <c r="N193" s="92">
        <f>'Datos Actividad'!$K189*'FE Sectorial'!O192</f>
        <v>0</v>
      </c>
      <c r="O193" s="87">
        <f>IF(D193&lt;400,H193+I193*'Factores generales'!$M$41+J193*'Factores generales'!$N$41,I193*'Factores generales'!$M$41+J193*'Factores generales'!$N$41)</f>
        <v>246192.43767801803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Actividad'!$K192*'FE Sectorial'!I195</f>
        <v>63.392939959992546</v>
      </c>
      <c r="I196" s="92">
        <f>'Datos Actividad'!$K192*'FE Sectorial'!J195</f>
        <v>19724.235069670147</v>
      </c>
      <c r="J196" s="92">
        <f>'Datos Actividad'!$K192*'FE Sectorial'!K195</f>
        <v>0</v>
      </c>
      <c r="K196" s="92">
        <f>'Datos Actividad'!$K192*'FE Sectorial'!L195</f>
        <v>0</v>
      </c>
      <c r="L196" s="92">
        <f>'Datos Actividad'!$K192*'FE Sectorial'!M195</f>
        <v>0</v>
      </c>
      <c r="M196" s="92">
        <f>'Datos Actividad'!$K192*'FE Sectorial'!N195</f>
        <v>471.69169146304455</v>
      </c>
      <c r="N196" s="92">
        <f>'Datos Actividad'!$K192*'FE Sectorial'!O195</f>
        <v>0</v>
      </c>
      <c r="O196" s="87">
        <f>IF(D196&lt;400,H196+I196*'Factores generales'!$M$41+J196*'Factores generales'!$N$41,I196*'Factores generales'!$M$41+J196*'Factores generales'!$N$41)</f>
        <v>414272.32940303307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Actividad'!$K194*'FE Sectorial'!I197</f>
        <v>2693.6442652750898</v>
      </c>
      <c r="I198" s="92">
        <f>'Datos Actividad'!$K194*'FE Sectorial'!J197</f>
        <v>52863.690825036698</v>
      </c>
      <c r="J198" s="92">
        <f>'Datos Actividad'!$K194*'FE Sectorial'!K197</f>
        <v>0</v>
      </c>
      <c r="K198" s="92">
        <f>'Datos Actividad'!$K194*'FE Sectorial'!L197</f>
        <v>0</v>
      </c>
      <c r="L198" s="92">
        <f>'Datos Actividad'!$K194*'FE Sectorial'!M197</f>
        <v>0</v>
      </c>
      <c r="M198" s="92">
        <f>'Datos Actividad'!$K194*'FE Sectorial'!N197</f>
        <v>765.07212000000015</v>
      </c>
      <c r="N198" s="92">
        <f>'Datos Actividad'!$K194*'FE Sectorial'!O197</f>
        <v>0</v>
      </c>
      <c r="O198" s="87">
        <f>IF(D198&lt;400,H198+I198*'Factores generales'!$M$41+J198*'Factores generales'!$N$41,I198*'Factores generales'!$M$41+J198*'Factores generales'!$N$41)</f>
        <v>1112831.1515910455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Actividad'!$K197*'FE Sectorial'!I200</f>
        <v>0</v>
      </c>
      <c r="I201" s="92">
        <f>'Datos Actividad'!$K197*'FE Sectorial'!J200</f>
        <v>63508.405186800002</v>
      </c>
      <c r="J201" s="92">
        <f>'Datos Actividad'!$K197*'FE Sectorial'!K200</f>
        <v>0</v>
      </c>
      <c r="K201" s="92">
        <f>'Datos Actividad'!$K197*'FE Sectorial'!L200</f>
        <v>0</v>
      </c>
      <c r="L201" s="92">
        <f>'Datos Actividad'!$K197*'FE Sectorial'!M200</f>
        <v>0</v>
      </c>
      <c r="M201" s="92">
        <f>'Datos Actividad'!$K197*'FE Sectorial'!N200</f>
        <v>0</v>
      </c>
      <c r="N201" s="92">
        <f>'Datos Actividad'!$K197*'FE Sectorial'!O200</f>
        <v>0</v>
      </c>
      <c r="O201" s="87">
        <f>IF(D201&lt;400,H201+I201*'Factores generales'!$M$41+J201*'Factores generales'!$N$41,I201*'Factores generales'!$M$41+J201*'Factores generales'!$N$41)</f>
        <v>1333676.5089228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Actividad'!$K199*'FE Sectorial'!I202</f>
        <v>0</v>
      </c>
      <c r="I203" s="92">
        <f>'Datos Actividad'!$K199*'FE Sectorial'!J202</f>
        <v>16877.840281919998</v>
      </c>
      <c r="J203" s="92">
        <f>'Datos Actividad'!$K199*'FE Sectorial'!K202</f>
        <v>0</v>
      </c>
      <c r="K203" s="92">
        <f>'Datos Actividad'!$K199*'FE Sectorial'!L202</f>
        <v>0</v>
      </c>
      <c r="L203" s="92">
        <f>'Datos Actividad'!$K199*'FE Sectorial'!M202</f>
        <v>0</v>
      </c>
      <c r="M203" s="92">
        <f>'Datos Actividad'!$K199*'FE Sectorial'!N202</f>
        <v>0</v>
      </c>
      <c r="N203" s="92">
        <f>'Datos Actividad'!$K199*'FE Sectorial'!O202</f>
        <v>0</v>
      </c>
      <c r="O203" s="87">
        <f>IF(D203&lt;400,H203+I203*'Factores generales'!$M$41+J203*'Factores generales'!$N$41,I203*'Factores generales'!$M$41+J203*'Factores generales'!$N$41)</f>
        <v>354434.64592031995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5212135.0224797362</v>
      </c>
      <c r="I204" s="134">
        <f t="shared" ref="I204:O204" si="47">SUM(I205:I221)</f>
        <v>40919.529220229379</v>
      </c>
      <c r="J204" s="134">
        <f t="shared" si="47"/>
        <v>31.668180017832761</v>
      </c>
      <c r="K204" s="134">
        <f t="shared" si="47"/>
        <v>0</v>
      </c>
      <c r="L204" s="134">
        <f t="shared" si="47"/>
        <v>0</v>
      </c>
      <c r="M204" s="134">
        <f t="shared" si="47"/>
        <v>20461.530276797184</v>
      </c>
      <c r="N204" s="134">
        <f t="shared" si="47"/>
        <v>0</v>
      </c>
      <c r="O204" s="134">
        <f t="shared" si="47"/>
        <v>6081262.2719100825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Actividad'!$K203*'FE Sectorial'!I206</f>
        <v>4212.3555643639902</v>
      </c>
      <c r="I207" s="92">
        <f>'Datos Actividad'!$K203*'FE Sectorial'!J206</f>
        <v>32001.872420887179</v>
      </c>
      <c r="J207" s="92">
        <f>'Datos Actividad'!$K203*'FE Sectorial'!K206</f>
        <v>0</v>
      </c>
      <c r="K207" s="92">
        <f>'Datos Actividad'!$K203*'FE Sectorial'!L206</f>
        <v>0</v>
      </c>
      <c r="L207" s="92">
        <f>'Datos Actividad'!$K203*'FE Sectorial'!M206</f>
        <v>0</v>
      </c>
      <c r="M207" s="92">
        <f>'Datos Actividad'!$K203*'FE Sectorial'!N206</f>
        <v>19092.015470660361</v>
      </c>
      <c r="N207" s="92">
        <f>'Datos Actividad'!$K203*'FE Sectorial'!O206</f>
        <v>0</v>
      </c>
      <c r="O207" s="87">
        <f>IF(D207&lt;400,H207+I207*'Factores generales'!$M$41+J207*'Factores generales'!$N$41,I207*'Factores generales'!$M$41+J207*'Factores generales'!$N$41)</f>
        <v>676251.67640299478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Actividad'!$K205*'FE Sectorial'!I208</f>
        <v>1816257.7726378513</v>
      </c>
      <c r="I209" s="92">
        <f>'Datos Actividad'!$K205*'FE Sectorial'!J208</f>
        <v>1105.098544364163</v>
      </c>
      <c r="J209" s="92">
        <f>'Datos Actividad'!$K205*'FE Sectorial'!K208</f>
        <v>28.446108818566383</v>
      </c>
      <c r="K209" s="92">
        <f>'Datos Actividad'!$K205*'FE Sectorial'!L208</f>
        <v>0</v>
      </c>
      <c r="L209" s="92">
        <f>'Datos Actividad'!$K205*'FE Sectorial'!M208</f>
        <v>0</v>
      </c>
      <c r="M209" s="92">
        <f>'Datos Actividad'!$K205*'FE Sectorial'!N208</f>
        <v>935.4060840639512</v>
      </c>
      <c r="N209" s="92">
        <f>'Datos Actividad'!$K205*'FE Sectorial'!O208</f>
        <v>0</v>
      </c>
      <c r="O209" s="87">
        <f>IF(D209&lt;400,H209+I209*'Factores generales'!$M$41+J209*'Factores generales'!$N$41,I209*'Factores generales'!$M$41+J209*'Factores generales'!$N$41)</f>
        <v>1848283.1358032543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Actividad'!$K209*'FE Sectorial'!I212</f>
        <v>3142072.8392086681</v>
      </c>
      <c r="I213" s="92">
        <f>'Datos Actividad'!$K209*'FE Sectorial'!J212</f>
        <v>0</v>
      </c>
      <c r="J213" s="92">
        <f>'Datos Actividad'!$K209*'FE Sectorial'!K212</f>
        <v>0</v>
      </c>
      <c r="K213" s="92">
        <f>'Datos Actividad'!$K209*'FE Sectorial'!L212</f>
        <v>0</v>
      </c>
      <c r="L213" s="92">
        <f>'Datos Actividad'!$K209*'FE Sectorial'!M212</f>
        <v>0</v>
      </c>
      <c r="M213" s="92">
        <f>'Datos Actividad'!$K209*'FE Sectorial'!N212</f>
        <v>0</v>
      </c>
      <c r="N213" s="92">
        <f>'Datos Actividad'!$K209*'FE Sectorial'!O212</f>
        <v>0</v>
      </c>
      <c r="O213" s="87">
        <f>IF(D213&lt;400,H213+I213*'Factores generales'!$M$41+J213*'Factores generales'!$N$41,I213*'Factores generales'!$M$41+J213*'Factores generales'!$N$41)</f>
        <v>3142072.8392086681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Actividad'!$K211*'FE Sectorial'!I214</f>
        <v>201.61355510462886</v>
      </c>
      <c r="I215" s="92">
        <f>'Datos Actividad'!$K211*'FE Sectorial'!J214</f>
        <v>7647.5028736977147</v>
      </c>
      <c r="J215" s="92">
        <f>'Datos Actividad'!$K211*'FE Sectorial'!K214</f>
        <v>0</v>
      </c>
      <c r="K215" s="92">
        <f>'Datos Actividad'!$K211*'FE Sectorial'!L214</f>
        <v>0</v>
      </c>
      <c r="L215" s="92">
        <f>'Datos Actividad'!$K211*'FE Sectorial'!M214</f>
        <v>0</v>
      </c>
      <c r="M215" s="92">
        <f>'Datos Actividad'!$K211*'FE Sectorial'!N214</f>
        <v>301.47597554253019</v>
      </c>
      <c r="N215" s="92">
        <f>'Datos Actividad'!$K211*'FE Sectorial'!O214</f>
        <v>0</v>
      </c>
      <c r="O215" s="87">
        <f>IF(D215&lt;400,H215+I215*'Factores generales'!$M$41+J215*'Factores generales'!$N$41,I215*'Factores generales'!$M$41+J215*'Factores generales'!$N$41)</f>
        <v>160799.17390275662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Actividad'!$K214*'FE Sectorial'!I217</f>
        <v>70627.70016381715</v>
      </c>
      <c r="I218" s="92">
        <f>'Datos Actividad'!$K214*'FE Sectorial'!J217</f>
        <v>44.435620231730354</v>
      </c>
      <c r="J218" s="92">
        <f>'Datos Actividad'!$K214*'FE Sectorial'!K217</f>
        <v>1.2578622876340773</v>
      </c>
      <c r="K218" s="92">
        <f>'Datos Actividad'!$K214*'FE Sectorial'!L217</f>
        <v>0</v>
      </c>
      <c r="L218" s="92">
        <f>'Datos Actividad'!$K214*'FE Sectorial'!M217</f>
        <v>0</v>
      </c>
      <c r="M218" s="92">
        <f>'Datos Actividad'!$K214*'FE Sectorial'!N217</f>
        <v>37.002388436681805</v>
      </c>
      <c r="N218" s="92">
        <f>'Datos Actividad'!$K214*'FE Sectorial'!O217</f>
        <v>0</v>
      </c>
      <c r="O218" s="87">
        <f>IF(D218&lt;400,H218+I218*'Factores generales'!$M$41+J218*'Factores generales'!$N$41,I218*'Factores generales'!$M$41+J218*'Factores generales'!$N$41)</f>
        <v>71950.785497850055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Actividad'!$K216*'FE Sectorial'!I219</f>
        <v>178762.7413499316</v>
      </c>
      <c r="I220" s="92">
        <f>'Datos Actividad'!$K216*'FE Sectorial'!J219</f>
        <v>120.61976104859848</v>
      </c>
      <c r="J220" s="92">
        <f>'Datos Actividad'!$K216*'FE Sectorial'!K219</f>
        <v>1.9642089116323005</v>
      </c>
      <c r="K220" s="92">
        <f>'Datos Actividad'!$K216*'FE Sectorial'!L219</f>
        <v>0</v>
      </c>
      <c r="L220" s="92">
        <f>'Datos Actividad'!$K216*'FE Sectorial'!M219</f>
        <v>0</v>
      </c>
      <c r="M220" s="92">
        <f>'Datos Actividad'!$K216*'FE Sectorial'!N219</f>
        <v>95.630358093660661</v>
      </c>
      <c r="N220" s="92">
        <f>'Datos Actividad'!$K216*'FE Sectorial'!O219</f>
        <v>0</v>
      </c>
      <c r="O220" s="87">
        <f>IF(D220&lt;400,H220+I220*'Factores generales'!$M$41+J220*'Factores generales'!$N$41,I220*'Factores generales'!$M$41+J220*'Factores generales'!$N$41)</f>
        <v>181904.66109455819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11566538.002391739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5061189.8423790336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2369348.8805652093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2691840.9618138243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148309064.04982933</v>
      </c>
      <c r="I5" s="138">
        <f t="shared" si="0"/>
        <v>392474.62417769013</v>
      </c>
      <c r="J5" s="138">
        <f t="shared" si="0"/>
        <v>3509.1575061684694</v>
      </c>
      <c r="K5" s="138">
        <f t="shared" si="0"/>
        <v>819365.93517059775</v>
      </c>
      <c r="L5" s="138">
        <f t="shared" si="0"/>
        <v>2070140.7751007145</v>
      </c>
      <c r="M5" s="138">
        <f t="shared" si="0"/>
        <v>422667.35973199055</v>
      </c>
      <c r="N5" s="138">
        <f t="shared" si="0"/>
        <v>81882.239579756511</v>
      </c>
      <c r="O5" s="138">
        <f t="shared" si="0"/>
        <v>157638869.98447305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142983159.01979667</v>
      </c>
      <c r="I6" s="124">
        <f t="shared" si="1"/>
        <v>21741.870936843778</v>
      </c>
      <c r="J6" s="124">
        <f t="shared" si="1"/>
        <v>3476.828799750625</v>
      </c>
      <c r="K6" s="124">
        <f t="shared" si="1"/>
        <v>817732.25562024978</v>
      </c>
      <c r="L6" s="124">
        <f t="shared" si="1"/>
        <v>2067526.9023715146</v>
      </c>
      <c r="M6" s="124">
        <f t="shared" si="1"/>
        <v>304238.42231908493</v>
      </c>
      <c r="N6" s="124">
        <f t="shared" si="1"/>
        <v>55743.512287756515</v>
      </c>
      <c r="O6" s="124">
        <f t="shared" si="1"/>
        <v>144517555.23739308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41475086.843372598</v>
      </c>
      <c r="I7" s="129">
        <f t="shared" si="2"/>
        <v>867.53440095924509</v>
      </c>
      <c r="J7" s="129">
        <f t="shared" si="2"/>
        <v>136.56140714739493</v>
      </c>
      <c r="K7" s="129">
        <f t="shared" si="2"/>
        <v>111801.41688764359</v>
      </c>
      <c r="L7" s="129">
        <f t="shared" si="2"/>
        <v>13576.220670474153</v>
      </c>
      <c r="M7" s="129">
        <f t="shared" si="2"/>
        <v>3498.9014828605041</v>
      </c>
      <c r="N7" s="129">
        <f t="shared" si="2"/>
        <v>29262.004973114315</v>
      </c>
      <c r="O7" s="129">
        <f t="shared" si="2"/>
        <v>41535639.102008432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29445868.554871567</v>
      </c>
      <c r="I8" s="134">
        <f t="shared" si="3"/>
        <v>633.35207747999993</v>
      </c>
      <c r="J8" s="134">
        <f t="shared" si="3"/>
        <v>104.489635488</v>
      </c>
      <c r="K8" s="134">
        <f t="shared" si="3"/>
        <v>79514.40215200001</v>
      </c>
      <c r="L8" s="134">
        <f t="shared" si="3"/>
        <v>9493.4664006000003</v>
      </c>
      <c r="M8" s="134">
        <f t="shared" si="3"/>
        <v>2461.5214654000001</v>
      </c>
      <c r="N8" s="134">
        <f t="shared" si="3"/>
        <v>26226.255360000003</v>
      </c>
      <c r="O8" s="134">
        <f t="shared" si="3"/>
        <v>29491560.735499926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29445868.554871567</v>
      </c>
      <c r="I9" s="93">
        <f t="shared" ref="I9:O9" si="4">I10+I11+I12+I13+I14</f>
        <v>633.35207747999993</v>
      </c>
      <c r="J9" s="93">
        <f t="shared" si="4"/>
        <v>104.489635488</v>
      </c>
      <c r="K9" s="93">
        <f t="shared" si="4"/>
        <v>79514.40215200001</v>
      </c>
      <c r="L9" s="93">
        <f t="shared" si="4"/>
        <v>9493.4664006000003</v>
      </c>
      <c r="M9" s="93">
        <f t="shared" si="4"/>
        <v>2461.5214654000001</v>
      </c>
      <c r="N9" s="93">
        <f t="shared" si="4"/>
        <v>26226.255360000003</v>
      </c>
      <c r="O9" s="93">
        <f t="shared" si="4"/>
        <v>29491560.735499926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Actividad'!$L6*'FE Sectorial'!$H9*'FE Sectorial'!I9*'FE Sectorial'!$P9/1000</f>
        <v>1324218.5624976</v>
      </c>
      <c r="I10" s="92">
        <f>'Datos Actividad'!$L6*'FE Sectorial'!$H9*'FE Sectorial'!J9/1000/1000</f>
        <v>14.283757200000002</v>
      </c>
      <c r="J10" s="92">
        <f>'Datos Actividad'!$L6*'FE Sectorial'!$H9*'FE Sectorial'!K9/1000/1000</f>
        <v>21.425635800000002</v>
      </c>
      <c r="K10" s="92">
        <f>'Datos Actividad'!$L6*'FE Sectorial'!$H9*'FE Sectorial'!L9/1000/1000</f>
        <v>4285.12716</v>
      </c>
      <c r="L10" s="92">
        <f>'Datos Actividad'!$L6*'FE Sectorial'!$H9*'FE Sectorial'!M9/1000/1000</f>
        <v>285.67514399999999</v>
      </c>
      <c r="M10" s="92">
        <f>'Datos Actividad'!$L6*'FE Sectorial'!$H9*'FE Sectorial'!N9/1000/1000</f>
        <v>71.418785999999997</v>
      </c>
      <c r="N10" s="92">
        <f>'Datos Actividad'!$L6*'FE Sectorial'!$H9*'FE Sectorial'!O9/1000/1000</f>
        <v>13674.759800000003</v>
      </c>
      <c r="O10" s="92">
        <f>IF(D10&lt;400,H10+I10*'Factores generales'!$M$41+J10*'Factores generales'!$N$41,I10*'Factores generales'!$M$41+J10*'Factores generales'!$N$41)</f>
        <v>1331160.4684967999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Actividad'!$L7*'FE Sectorial'!$H10*'FE Sectorial'!I10*'FE Sectorial'!$P10/1000</f>
        <v>641142.47468699992</v>
      </c>
      <c r="I11" s="17">
        <f>'Datos Actividad'!$L7*'FE Sectorial'!$H10*'FE Sectorial'!J10/1000/1000</f>
        <v>26.219379</v>
      </c>
      <c r="J11" s="17">
        <f>'Datos Actividad'!$L7*'FE Sectorial'!$H10*'FE Sectorial'!K10/1000/1000</f>
        <v>5.2438757999999996</v>
      </c>
      <c r="K11" s="17">
        <f>'Datos Actividad'!$L7*'FE Sectorial'!$H10*'FE Sectorial'!L10/1000/1000</f>
        <v>1747.9586000000002</v>
      </c>
      <c r="L11" s="17">
        <f>'Datos Actividad'!$L7*'FE Sectorial'!$H10*'FE Sectorial'!M10/1000/1000</f>
        <v>131.09689499999999</v>
      </c>
      <c r="M11" s="17">
        <f>'Datos Actividad'!$L7*'FE Sectorial'!$H10*'FE Sectorial'!N10/1000/1000</f>
        <v>43.698964999999994</v>
      </c>
      <c r="N11" s="17">
        <f>'Datos Actividad'!$L7*'FE Sectorial'!$H10*'FE Sectorial'!O10/1000/1000</f>
        <v>317.07155999999998</v>
      </c>
      <c r="O11" s="17">
        <f>IF(D11&lt;400,H11+I11*'Factores generales'!$M$41+J11*'Factores generales'!$N$41,I11*'Factores generales'!$M$41+J11*'Factores generales'!$N$41)</f>
        <v>643318.68314399989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Actividad'!$L8*'FE Sectorial'!$H11*'FE Sectorial'!I11*'FE Sectorial'!$P11/1000</f>
        <v>4734248.6157911997</v>
      </c>
      <c r="I12" s="92">
        <f>'Datos Actividad'!$L8*'FE Sectorial'!$H11*'FE Sectorial'!J11/1000/1000</f>
        <v>185.35152359999998</v>
      </c>
      <c r="J12" s="92">
        <f>'Datos Actividad'!$L8*'FE Sectorial'!$H11*'FE Sectorial'!K11/1000/1000</f>
        <v>37.070304720000003</v>
      </c>
      <c r="K12" s="92">
        <f>'Datos Actividad'!$L8*'FE Sectorial'!$H11*'FE Sectorial'!L11/1000/1000</f>
        <v>12356.768239999999</v>
      </c>
      <c r="L12" s="92">
        <f>'Datos Actividad'!$L8*'FE Sectorial'!$H11*'FE Sectorial'!M11/1000/1000</f>
        <v>926.75761799999987</v>
      </c>
      <c r="M12" s="92">
        <f>'Datos Actividad'!$L8*'FE Sectorial'!$H11*'FE Sectorial'!N11/1000/1000</f>
        <v>308.91920600000003</v>
      </c>
      <c r="N12" s="92">
        <f>'Datos Actividad'!$L8*'FE Sectorial'!$H11*'FE Sectorial'!O11/1000/1000</f>
        <v>12234.424000000001</v>
      </c>
      <c r="O12" s="92">
        <f>IF(D12&lt;400,H12+I12*'Factores generales'!$M$41+J12*'Factores generales'!$N$41,I12*'Factores generales'!$M$41+J12*'Factores generales'!$N$41)</f>
        <v>4749632.792249999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Actividad'!$L9*'FE Sectorial'!$H12*'FE Sectorial'!I12*'FE Sectorial'!$P12/1000</f>
        <v>22746258.901895765</v>
      </c>
      <c r="I13" s="17">
        <f>'Datos Actividad'!$L9*'FE Sectorial'!$H12*'FE Sectorial'!J12/1000/1000</f>
        <v>407.49664367999998</v>
      </c>
      <c r="J13" s="17">
        <f>'Datos Actividad'!$L9*'FE Sectorial'!$H12*'FE Sectorial'!K12/1000/1000</f>
        <v>40.749664367999998</v>
      </c>
      <c r="K13" s="17">
        <f>'Datos Actividad'!$L9*'FE Sectorial'!$H12*'FE Sectorial'!L12/1000/1000</f>
        <v>61124.496552000004</v>
      </c>
      <c r="L13" s="17">
        <f>'Datos Actividad'!$L9*'FE Sectorial'!$H12*'FE Sectorial'!M12/1000/1000</f>
        <v>8149.9328736000007</v>
      </c>
      <c r="M13" s="17">
        <f>'Datos Actividad'!$L9*'FE Sectorial'!$H12*'FE Sectorial'!N12/1000/1000</f>
        <v>2037.4832184000002</v>
      </c>
      <c r="N13" s="17">
        <f>'Datos Actividad'!$L9*'FE Sectorial'!$H12*'FE Sectorial'!O12/1000/1000</f>
        <v>0</v>
      </c>
      <c r="O13" s="17">
        <f>IF(D13&lt;400,H13+I13*'Factores generales'!$M$41+J13*'Factores generales'!$N$41,I13*'Factores generales'!$M$41+J13*'Factores generales'!$N$41)</f>
        <v>22767448.727367125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Actividad'!$L10*'FE Sectorial'!$H13*'FE Sectorial'!I13*'FE Sectorial'!$P13/1000</f>
        <v>18.926621999999998</v>
      </c>
      <c r="I14" s="147">
        <f>'Datos Actividad'!$L10*'FE Sectorial'!$H13*'FE Sectorial'!J13/1000/1000</f>
        <v>7.7400000000000006E-4</v>
      </c>
      <c r="J14" s="147">
        <f>'Datos Actividad'!$L10*'FE Sectorial'!$H13*'FE Sectorial'!K13/1000/1000</f>
        <v>1.548E-4</v>
      </c>
      <c r="K14" s="147">
        <f>'Datos Actividad'!$L10*'FE Sectorial'!$H13*'FE Sectorial'!L13/1000/1000</f>
        <v>5.16E-2</v>
      </c>
      <c r="L14" s="147">
        <f>'Datos Actividad'!$L10*'FE Sectorial'!$H13*'FE Sectorial'!M13/1000/1000</f>
        <v>3.8700000000000002E-3</v>
      </c>
      <c r="M14" s="147">
        <f>'Datos Actividad'!$L10*'FE Sectorial'!$H13*'FE Sectorial'!N13/1000/1000</f>
        <v>1.2900000000000001E-3</v>
      </c>
      <c r="N14" s="147">
        <f>'Datos Actividad'!$L10*'FE Sectorial'!$H13*'FE Sectorial'!O13/1000/1000</f>
        <v>0</v>
      </c>
      <c r="O14" s="92">
        <f>IF(D14&lt;400,H14+I14*'Factores generales'!$M$41+J14*'Factores generales'!$N$41,I14*'Factores generales'!$M$41+J14*'Factores generales'!$N$41)</f>
        <v>6.4241999999999994E-2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4187959.2625162918</v>
      </c>
      <c r="I17" s="134">
        <f t="shared" ref="I17:O17" si="5">SUM(I18:I25)</f>
        <v>93.078981187719663</v>
      </c>
      <c r="J17" s="134">
        <f t="shared" si="5"/>
        <v>16.835310022106778</v>
      </c>
      <c r="K17" s="134">
        <f t="shared" si="5"/>
        <v>11179.903048185954</v>
      </c>
      <c r="L17" s="134">
        <f t="shared" si="5"/>
        <v>1289.2441540436448</v>
      </c>
      <c r="M17" s="134">
        <f t="shared" si="5"/>
        <v>338.20924600287645</v>
      </c>
      <c r="N17" s="134">
        <f t="shared" si="5"/>
        <v>2372.8321873516011</v>
      </c>
      <c r="O17" s="134">
        <f t="shared" si="5"/>
        <v>4195132.867228087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Actividad'!$L14*'FE Sectorial'!$H17*'FE Sectorial'!I17*'FE Sectorial'!P17/1000</f>
        <v>1210123.80577836</v>
      </c>
      <c r="I18" s="17">
        <f>'Datos Actividad'!$L14*'FE Sectorial'!$H17*'FE Sectorial'!J17/1000/1000</f>
        <v>21.679230480000001</v>
      </c>
      <c r="J18" s="17">
        <f>'Datos Actividad'!$L14*'FE Sectorial'!$H17*'FE Sectorial'!K17/1000/1000</f>
        <v>2.167923048</v>
      </c>
      <c r="K18" s="17">
        <f>'Datos Actividad'!$L14*'FE Sectorial'!$H17*'FE Sectorial'!L17/1000/1000</f>
        <v>3251.8845719999999</v>
      </c>
      <c r="L18" s="17">
        <f>'Datos Actividad'!$L14*'FE Sectorial'!$H17*'FE Sectorial'!M17/1000/1000</f>
        <v>433.58460960000002</v>
      </c>
      <c r="M18" s="17">
        <f>'Datos Actividad'!$L14*'FE Sectorial'!$H17*'FE Sectorial'!N17/1000/1000</f>
        <v>108.39615240000001</v>
      </c>
      <c r="N18" s="17">
        <f>'Datos Actividad'!$L14*'FE Sectorial'!$H17*'FE Sectorial'!O17/1000/1000</f>
        <v>0</v>
      </c>
      <c r="O18" s="87">
        <f>IF(D18&lt;400,H18+I18*'Factores generales'!$M$41+J18*'Factores generales'!$N$41,I18*'Factores generales'!$M$41+J18*'Factores generales'!$N$41)</f>
        <v>1211251.1257633199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Actividad'!$L15*'FE Sectorial'!$H18*'FE Sectorial'!I18*'FE Sectorial'!P18/1000</f>
        <v>0</v>
      </c>
      <c r="I19" s="17">
        <f>'Datos Actividad'!$L15*'FE Sectorial'!$H18*'FE Sectorial'!J18/1000/1000</f>
        <v>0</v>
      </c>
      <c r="J19" s="17">
        <f>'Datos Actividad'!$L15*'FE Sectorial'!$H18*'FE Sectorial'!K18/1000/1000</f>
        <v>0</v>
      </c>
      <c r="K19" s="17">
        <f>'Datos Actividad'!$L15*'FE Sectorial'!$H18*'FE Sectorial'!L18/1000/1000</f>
        <v>0</v>
      </c>
      <c r="L19" s="17">
        <f>'Datos Actividad'!$L15*'FE Sectorial'!$H18*'FE Sectorial'!M18/1000/1000</f>
        <v>0</v>
      </c>
      <c r="M19" s="17">
        <f>'Datos Actividad'!$L15*'FE Sectorial'!$H18*'FE Sectorial'!N18/1000/1000</f>
        <v>0</v>
      </c>
      <c r="N19" s="17">
        <f>'Datos Actividad'!$L15*'FE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Actividad'!$L16*'FE Sectorial'!$H19*'FE Sectorial'!I19*'FE Sectorial'!P19/1000</f>
        <v>1753330.9393636854</v>
      </c>
      <c r="I20" s="17">
        <f>'Datos Actividad'!$L16*'FE Sectorial'!$H19*'FE Sectorial'!J19/1000/1000</f>
        <v>30.592736937529409</v>
      </c>
      <c r="J20" s="17">
        <f>'Datos Actividad'!$L16*'FE Sectorial'!$H19*'FE Sectorial'!K19/1000/1000</f>
        <v>3.0592736937529406</v>
      </c>
      <c r="K20" s="17">
        <f>'Datos Actividad'!$L16*'FE Sectorial'!$H19*'FE Sectorial'!L19/1000/1000</f>
        <v>4588.9105406294111</v>
      </c>
      <c r="L20" s="17">
        <f>'Datos Actividad'!$L16*'FE Sectorial'!$H19*'FE Sectorial'!M19/1000/1000</f>
        <v>611.85473875058813</v>
      </c>
      <c r="M20" s="17">
        <f>'Datos Actividad'!$L16*'FE Sectorial'!$H19*'FE Sectorial'!N19/1000/1000</f>
        <v>152.96368468764703</v>
      </c>
      <c r="N20" s="17">
        <f>'Datos Actividad'!$L16*'FE Sectorial'!$H19*'FE Sectorial'!O19/1000/1000</f>
        <v>0</v>
      </c>
      <c r="O20" s="87">
        <f>IF(D20&lt;400,H20+I20*'Factores generales'!$M$41+J20*'Factores generales'!$N$41,I20*'Factores generales'!$M$41+J20*'Factores generales'!$N$41)</f>
        <v>1754921.7616844368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Actividad'!$L17*'FE Sectorial'!$H20*'FE Sectorial'!I20*'FE Sectorial'!P20/1000</f>
        <v>11774.260070388349</v>
      </c>
      <c r="I21" s="17">
        <f>'Datos Actividad'!$L17*'FE Sectorial'!$H20*'FE Sectorial'!J20/1000/1000</f>
        <v>0.49901504854368933</v>
      </c>
      <c r="J21" s="17">
        <f>'Datos Actividad'!$L17*'FE Sectorial'!$H20*'FE Sectorial'!K20/1000/1000</f>
        <v>9.9803009708737844E-2</v>
      </c>
      <c r="K21" s="17">
        <f>'Datos Actividad'!$L17*'FE Sectorial'!$H20*'FE Sectorial'!L20/1000/1000</f>
        <v>33.267669902912615</v>
      </c>
      <c r="L21" s="17">
        <f>'Datos Actividad'!$L17*'FE Sectorial'!$H20*'FE Sectorial'!M20/1000/1000</f>
        <v>2.4950752427184466</v>
      </c>
      <c r="M21" s="17">
        <f>'Datos Actividad'!$L17*'FE Sectorial'!$H20*'FE Sectorial'!N20/1000/1000</f>
        <v>0.8316917475728155</v>
      </c>
      <c r="N21" s="17">
        <f>'Datos Actividad'!$L17*'FE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Actividad'!$L18*'FE Sectorial'!$H21*'FE Sectorial'!I21*'FE Sectorial'!P21/1000</f>
        <v>0</v>
      </c>
      <c r="I22" s="17">
        <f>'Datos Actividad'!$L18*'FE Sectorial'!$H21*'FE Sectorial'!J21/1000/1000</f>
        <v>0</v>
      </c>
      <c r="J22" s="17">
        <f>'Datos Actividad'!$L18*'FE Sectorial'!$H21*'FE Sectorial'!K21/1000/1000</f>
        <v>0</v>
      </c>
      <c r="K22" s="17">
        <f>'Datos Actividad'!$L18*'FE Sectorial'!$H21*'FE Sectorial'!L21/1000/1000</f>
        <v>0</v>
      </c>
      <c r="L22" s="17">
        <f>'Datos Actividad'!$L18*'FE Sectorial'!$H21*'FE Sectorial'!M21/1000/1000</f>
        <v>0</v>
      </c>
      <c r="M22" s="17">
        <f>'Datos Actividad'!$L18*'FE Sectorial'!$H21*'FE Sectorial'!N21/1000/1000</f>
        <v>0</v>
      </c>
      <c r="N22" s="17">
        <f>'Datos Actividad'!$L18*'FE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Actividad'!$L19*'FE Sectorial'!$H22*'FE Sectorial'!I22*'FE Sectorial'!P22/1000</f>
        <v>54563.688452382346</v>
      </c>
      <c r="I23" s="17">
        <f>'Datos Actividad'!$L19*'FE Sectorial'!$H22*'FE Sectorial'!J22/1000/1000</f>
        <v>2.2313699117647059</v>
      </c>
      <c r="J23" s="17">
        <f>'Datos Actividad'!$L19*'FE Sectorial'!$H22*'FE Sectorial'!K22/1000/1000</f>
        <v>0.44627398235294119</v>
      </c>
      <c r="K23" s="17">
        <f>'Datos Actividad'!$L19*'FE Sectorial'!$H22*'FE Sectorial'!L22/1000/1000</f>
        <v>148.75799411764706</v>
      </c>
      <c r="L23" s="17">
        <f>'Datos Actividad'!$L19*'FE Sectorial'!$H22*'FE Sectorial'!M22/1000/1000</f>
        <v>11.156849558823529</v>
      </c>
      <c r="M23" s="17">
        <f>'Datos Actividad'!$L19*'FE Sectorial'!$H22*'FE Sectorial'!N22/1000/1000</f>
        <v>3.7189498529411762</v>
      </c>
      <c r="N23" s="17">
        <f>'Datos Actividad'!$L19*'FE Sectorial'!$H22*'FE Sectorial'!O22/1000/1000</f>
        <v>26.984008235294116</v>
      </c>
      <c r="O23" s="87">
        <f>IF(D23&lt;400,H23+I23*'Factores generales'!$M$41+J23*'Factores generales'!$N$41,I23*'Factores generales'!$M$41+J23*'Factores generales'!$N$41)</f>
        <v>54748.89215505882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Actividad'!$L20*'FE Sectorial'!$H23*'FE Sectorial'!I23*'FE Sectorial'!P23/1000</f>
        <v>904833.34516726539</v>
      </c>
      <c r="I24" s="17">
        <f>'Datos Actividad'!$L20*'FE Sectorial'!$H23*'FE Sectorial'!J23/1000/1000</f>
        <v>35.425313020408169</v>
      </c>
      <c r="J24" s="17">
        <f>'Datos Actividad'!$L20*'FE Sectorial'!$H23*'FE Sectorial'!K23/1000/1000</f>
        <v>7.0850626040816334</v>
      </c>
      <c r="K24" s="17">
        <f>'Datos Actividad'!$L20*'FE Sectorial'!$H23*'FE Sectorial'!L23/1000/1000</f>
        <v>2361.6875346938778</v>
      </c>
      <c r="L24" s="17">
        <f>'Datos Actividad'!$L20*'FE Sectorial'!$H23*'FE Sectorial'!M23/1000/1000</f>
        <v>177.12656510204081</v>
      </c>
      <c r="M24" s="17">
        <f>'Datos Actividad'!$L20*'FE Sectorial'!$H23*'FE Sectorial'!N23/1000/1000</f>
        <v>59.042188367346945</v>
      </c>
      <c r="N24" s="17">
        <f>'Datos Actividad'!$L20*'FE Sectorial'!$H23*'FE Sectorial'!O23/1000/1000</f>
        <v>2338.3044897959185</v>
      </c>
      <c r="O24" s="87">
        <f>IF(D24&lt;400,H24+I24*'Factores generales'!$M$41+J24*'Factores generales'!$N$41,I24*'Factores generales'!$M$41+J24*'Factores generales'!$N$41)</f>
        <v>907773.64614795928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Actividad'!$L21*'FE Sectorial'!$H24*'FE Sectorial'!I24*'FE Sectorial'!P24/1000</f>
        <v>253333.2236842105</v>
      </c>
      <c r="I25" s="17">
        <f>'Datos Actividad'!$L21*'FE Sectorial'!$H24*'FE Sectorial'!J24/1000/1000</f>
        <v>2.6513157894736841</v>
      </c>
      <c r="J25" s="17">
        <f>'Datos Actividad'!$L21*'FE Sectorial'!$H24*'FE Sectorial'!K24/1000/1000</f>
        <v>3.9769736842105265</v>
      </c>
      <c r="K25" s="17">
        <f>'Datos Actividad'!$L21*'FE Sectorial'!$H24*'FE Sectorial'!L24/1000/1000</f>
        <v>795.39473684210532</v>
      </c>
      <c r="L25" s="17">
        <f>'Datos Actividad'!$L21*'FE Sectorial'!$H24*'FE Sectorial'!M24/1000/1000</f>
        <v>53.026315789473678</v>
      </c>
      <c r="M25" s="17">
        <f>'Datos Actividad'!$L21*'FE Sectorial'!$H24*'FE Sectorial'!N24/1000/1000</f>
        <v>13.256578947368419</v>
      </c>
      <c r="N25" s="17">
        <f>'Datos Actividad'!$L21*'FE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254621.76315789472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7841259.0259847399</v>
      </c>
      <c r="I26" s="134">
        <f t="shared" ref="I26:O26" si="6">I27+I28</f>
        <v>141.10334229152545</v>
      </c>
      <c r="J26" s="134">
        <f t="shared" si="6"/>
        <v>15.236461637288137</v>
      </c>
      <c r="K26" s="134">
        <f t="shared" si="6"/>
        <v>21107.111687457622</v>
      </c>
      <c r="L26" s="134">
        <f t="shared" si="6"/>
        <v>2793.5101158305083</v>
      </c>
      <c r="M26" s="134">
        <f t="shared" si="6"/>
        <v>699.1707714576271</v>
      </c>
      <c r="N26" s="134">
        <f t="shared" si="6"/>
        <v>662.91742576271201</v>
      </c>
      <c r="O26" s="134">
        <f t="shared" si="6"/>
        <v>7848945.4992804211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7841259.0259847399</v>
      </c>
      <c r="I28" s="15">
        <f t="shared" si="7"/>
        <v>141.10334229152545</v>
      </c>
      <c r="J28" s="15">
        <f t="shared" si="7"/>
        <v>15.236461637288137</v>
      </c>
      <c r="K28" s="15">
        <f t="shared" si="7"/>
        <v>21107.111687457622</v>
      </c>
      <c r="L28" s="15">
        <f t="shared" si="7"/>
        <v>2793.5101158305083</v>
      </c>
      <c r="M28" s="15">
        <f t="shared" si="7"/>
        <v>699.1707714576271</v>
      </c>
      <c r="N28" s="15">
        <f t="shared" si="7"/>
        <v>662.91742576271201</v>
      </c>
      <c r="O28" s="15">
        <f t="shared" si="7"/>
        <v>7848945.4992804211</v>
      </c>
    </row>
    <row r="29" spans="1:15" outlineLevel="1" x14ac:dyDescent="0.25">
      <c r="B29" s="1" t="s">
        <v>7</v>
      </c>
      <c r="G29" s="1"/>
      <c r="H29" s="95">
        <f t="shared" ref="H29:O29" si="8">H30+H31</f>
        <v>64444.700044738973</v>
      </c>
      <c r="I29" s="95">
        <f t="shared" si="8"/>
        <v>0.76978629152542366</v>
      </c>
      <c r="J29" s="95">
        <f t="shared" si="8"/>
        <v>1.0228672372881358</v>
      </c>
      <c r="K29" s="95">
        <f t="shared" si="8"/>
        <v>207.27728745762712</v>
      </c>
      <c r="L29" s="95">
        <f t="shared" si="8"/>
        <v>13.874815830508476</v>
      </c>
      <c r="M29" s="95">
        <f t="shared" si="8"/>
        <v>3.5109514576271188</v>
      </c>
      <c r="N29" s="95">
        <f t="shared" si="8"/>
        <v>641.12110576271198</v>
      </c>
      <c r="O29" s="95">
        <f t="shared" si="8"/>
        <v>64777.954400420327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Actividad'!$L26*'FE Sectorial'!$H29*'FE Sectorial'!I29*'FE Sectorial'!P29/1000</f>
        <v>61965.312562738975</v>
      </c>
      <c r="I30" s="17">
        <f>'Datos Actividad'!$L26*'FE Sectorial'!$H29*'FE Sectorial'!J29/1000/1000</f>
        <v>0.66839229152542368</v>
      </c>
      <c r="J30" s="17">
        <f>'Datos Actividad'!$L26*'FE Sectorial'!$H29*'FE Sectorial'!K29/1000/1000</f>
        <v>1.0025884372881357</v>
      </c>
      <c r="K30" s="17">
        <f>'Datos Actividad'!$L26*'FE Sectorial'!$H29*'FE Sectorial'!L29/1000/1000</f>
        <v>200.51768745762712</v>
      </c>
      <c r="L30" s="17">
        <f>'Datos Actividad'!$L26*'FE Sectorial'!$H29*'FE Sectorial'!M29/1000/1000</f>
        <v>13.367845830508475</v>
      </c>
      <c r="M30" s="17">
        <f>'Datos Actividad'!$L26*'FE Sectorial'!$H29*'FE Sectorial'!N29/1000/1000</f>
        <v>3.3419614576271188</v>
      </c>
      <c r="N30" s="17">
        <f>'Datos Actividad'!$L26*'FE Sectorial'!$H29*'FE Sectorial'!O29/1000/1000</f>
        <v>639.89494576271193</v>
      </c>
      <c r="O30" s="87">
        <f>IF(D30&lt;400,H30+I30*'Factores generales'!$M$41+J30*'Factores generales'!$N$41,I30*'Factores generales'!$M$41+J30*'Factores generales'!$N$41)</f>
        <v>62290.15121642033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Actividad'!$L27*'FE Sectorial'!$H30*'FE Sectorial'!I30*'FE Sectorial'!P30/1000</f>
        <v>2479.3874819999996</v>
      </c>
      <c r="I31" s="17">
        <f>'Datos Actividad'!$L27*'FE Sectorial'!$H30*'FE Sectorial'!J30/1000/1000</f>
        <v>0.10139400000000001</v>
      </c>
      <c r="J31" s="17">
        <f>'Datos Actividad'!$L27*'FE Sectorial'!$H30*'FE Sectorial'!K30/1000/1000</f>
        <v>2.02788E-2</v>
      </c>
      <c r="K31" s="17">
        <f>'Datos Actividad'!$L27*'FE Sectorial'!$H30*'FE Sectorial'!L30/1000/1000</f>
        <v>6.7596000000000007</v>
      </c>
      <c r="L31" s="17">
        <f>'Datos Actividad'!$L27*'FE Sectorial'!$H30*'FE Sectorial'!M30/1000/1000</f>
        <v>0.50697000000000003</v>
      </c>
      <c r="M31" s="17">
        <f>'Datos Actividad'!$L27*'FE Sectorial'!$H30*'FE Sectorial'!N30/1000/1000</f>
        <v>0.16899</v>
      </c>
      <c r="N31" s="17">
        <f>'Datos Actividad'!$L27*'FE Sectorial'!$H30*'FE Sectorial'!O30/1000/1000</f>
        <v>1.2261600000000001</v>
      </c>
      <c r="O31" s="87">
        <f>IF(D31&lt;400,H31+I31*'Factores generales'!$M$41+J31*'Factores generales'!$N$41,I31*'Factores generales'!$M$41+J31*'Factores generales'!$N$41)</f>
        <v>2487.8031839999994</v>
      </c>
    </row>
    <row r="32" spans="1:15" outlineLevel="1" x14ac:dyDescent="0.25">
      <c r="B32" s="1" t="s">
        <v>6</v>
      </c>
      <c r="G32" s="1"/>
      <c r="H32" s="17">
        <f>H33+H34+H35</f>
        <v>7776814.3259400008</v>
      </c>
      <c r="I32" s="17">
        <f t="shared" ref="I32:O32" si="9">I33+I34+I35</f>
        <v>140.33355600000002</v>
      </c>
      <c r="J32" s="17">
        <f t="shared" si="9"/>
        <v>14.213594400000002</v>
      </c>
      <c r="K32" s="17">
        <f t="shared" si="9"/>
        <v>20899.834399999996</v>
      </c>
      <c r="L32" s="17">
        <f t="shared" si="9"/>
        <v>2779.6352999999999</v>
      </c>
      <c r="M32" s="17">
        <f t="shared" si="9"/>
        <v>695.65981999999997</v>
      </c>
      <c r="N32" s="17">
        <f t="shared" si="9"/>
        <v>21.796320000000001</v>
      </c>
      <c r="O32" s="17">
        <f t="shared" si="9"/>
        <v>7784167.5448800009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Actividad'!$L29*'FE Sectorial'!$H32*'FE Sectorial'!I32*'FE Sectorial'!P32/1000</f>
        <v>7732740.532176001</v>
      </c>
      <c r="I33" s="17">
        <f>'Datos Actividad'!$L29*'FE Sectorial'!$H32*'FE Sectorial'!J32/1000/1000</f>
        <v>138.53116800000001</v>
      </c>
      <c r="J33" s="17">
        <f>'Datos Actividad'!$L29*'FE Sectorial'!$H32*'FE Sectorial'!K32/1000/1000</f>
        <v>13.853116800000002</v>
      </c>
      <c r="K33" s="17">
        <f>'Datos Actividad'!$L29*'FE Sectorial'!$H32*'FE Sectorial'!L32/1000/1000</f>
        <v>20779.675199999998</v>
      </c>
      <c r="L33" s="17">
        <f>'Datos Actividad'!$L29*'FE Sectorial'!$H32*'FE Sectorial'!M32/1000/1000</f>
        <v>2770.62336</v>
      </c>
      <c r="M33" s="17">
        <f>'Datos Actividad'!$L29*'FE Sectorial'!$H32*'FE Sectorial'!N32/1000/1000</f>
        <v>692.65584000000001</v>
      </c>
      <c r="N33" s="17">
        <f>'Datos Actividad'!$L29*'FE Sectorial'!$H32*'FE Sectorial'!O32/1000/1000</f>
        <v>0</v>
      </c>
      <c r="O33" s="87">
        <f>IF(D33&lt;400,H33+I33*'Factores generales'!$M$41+J33*'Factores generales'!$N$41,I33*'Factores generales'!$M$41+J33*'Factores generales'!$N$41)</f>
        <v>7739944.1529120011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Actividad'!$L30*'FE Sectorial'!$H33*'FE Sectorial'!I33*'FE Sectorial'!P33/1000</f>
        <v>44073.793763999995</v>
      </c>
      <c r="I34" s="17">
        <f>'Datos Actividad'!$L30*'FE Sectorial'!$H33*'FE Sectorial'!J33/1000/1000</f>
        <v>1.8023879999999999</v>
      </c>
      <c r="J34" s="17">
        <f>'Datos Actividad'!$L30*'FE Sectorial'!$H33*'FE Sectorial'!K33/1000/1000</f>
        <v>0.36047760000000001</v>
      </c>
      <c r="K34" s="17">
        <f>'Datos Actividad'!$L30*'FE Sectorial'!$H33*'FE Sectorial'!L33/1000/1000</f>
        <v>120.1592</v>
      </c>
      <c r="L34" s="17">
        <f>'Datos Actividad'!$L30*'FE Sectorial'!$H33*'FE Sectorial'!M33/1000/1000</f>
        <v>9.0119400000000009</v>
      </c>
      <c r="M34" s="17">
        <f>'Datos Actividad'!$L30*'FE Sectorial'!$H33*'FE Sectorial'!N33/1000/1000</f>
        <v>3.0039799999999999</v>
      </c>
      <c r="N34" s="17">
        <f>'Datos Actividad'!$L30*'FE Sectorial'!$H33*'FE Sectorial'!O33/1000/1000</f>
        <v>21.796320000000001</v>
      </c>
      <c r="O34" s="87">
        <f>IF(D34&lt;400,H34+I34*'Factores generales'!$M$41+J34*'Factores generales'!$N$41,I34*'Factores generales'!$M$41+J34*'Factores generales'!$N$41)</f>
        <v>44223.391967999989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Actividad'!$L31*'FE Sectorial'!$H34*'FE Sectorial'!I34*'FE Sectorial'!P34/1000</f>
        <v>0</v>
      </c>
      <c r="I35" s="17">
        <f>'Datos Actividad'!$L31*'FE Sectorial'!$H34*'FE Sectorial'!J34/1000/1000</f>
        <v>0</v>
      </c>
      <c r="J35" s="17">
        <f>'Datos Actividad'!$L31*'FE Sectorial'!$H34*'FE Sectorial'!K34/1000/1000</f>
        <v>0</v>
      </c>
      <c r="K35" s="17">
        <f>'Datos Actividad'!$L31*'FE Sectorial'!$H34*'FE Sectorial'!L34/1000/1000</f>
        <v>0</v>
      </c>
      <c r="L35" s="17">
        <f>'Datos Actividad'!$L31*'FE Sectorial'!$H34*'FE Sectorial'!M34/1000/1000</f>
        <v>0</v>
      </c>
      <c r="M35" s="17">
        <f>'Datos Actividad'!$L31*'FE Sectorial'!$H34*'FE Sectorial'!N34/1000/1000</f>
        <v>0</v>
      </c>
      <c r="N35" s="17">
        <f>'Datos Actividad'!$L31*'FE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25066410.71088402</v>
      </c>
      <c r="I36" s="129">
        <f t="shared" si="10"/>
        <v>3502.1203953334984</v>
      </c>
      <c r="J36" s="129">
        <f t="shared" si="10"/>
        <v>502.35238074499188</v>
      </c>
      <c r="K36" s="129">
        <f t="shared" si="10"/>
        <v>73468.254174779693</v>
      </c>
      <c r="L36" s="129">
        <f t="shared" si="10"/>
        <v>395243.72753303847</v>
      </c>
      <c r="M36" s="129">
        <f t="shared" si="10"/>
        <v>7508.5045327561247</v>
      </c>
      <c r="N36" s="129">
        <f t="shared" si="10"/>
        <v>6093.5373141210548</v>
      </c>
      <c r="O36" s="129">
        <f t="shared" si="10"/>
        <v>25295684.477216974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8142638.6659622034</v>
      </c>
      <c r="I37" s="134">
        <f t="shared" ref="I37:O37" si="11">SUM(I38:I44)</f>
        <v>93.474622456081889</v>
      </c>
      <c r="J37" s="134">
        <f t="shared" si="11"/>
        <v>44.42935939812282</v>
      </c>
      <c r="K37" s="134">
        <f t="shared" si="11"/>
        <v>17638.58018332456</v>
      </c>
      <c r="L37" s="134">
        <f t="shared" si="11"/>
        <v>5758.282717612281</v>
      </c>
      <c r="M37" s="134">
        <f t="shared" si="11"/>
        <v>836.62861777163744</v>
      </c>
      <c r="N37" s="134">
        <f t="shared" si="11"/>
        <v>99.231999999999999</v>
      </c>
      <c r="O37" s="134">
        <f t="shared" si="11"/>
        <v>8158374.7344471989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Actividad'!$L34*'FE Sectorial'!$H37*'FE Sectorial'!I37*'FE Sectorial'!P37/1000</f>
        <v>2814715.6272694804</v>
      </c>
      <c r="I38" s="17">
        <f>'Datos Actividad'!$L34*'FE Sectorial'!$H37*'FE Sectorial'!J37/1000/1000</f>
        <v>50.425310640000006</v>
      </c>
      <c r="J38" s="17">
        <f>'Datos Actividad'!$L34*'FE Sectorial'!$H37*'FE Sectorial'!K37/1000/1000</f>
        <v>5.0425310640000003</v>
      </c>
      <c r="K38" s="17">
        <f>'Datos Actividad'!$L34*'FE Sectorial'!$H37*'FE Sectorial'!L37/1000/1000</f>
        <v>7563.7965960000001</v>
      </c>
      <c r="L38" s="17">
        <f>'Datos Actividad'!$L34*'FE Sectorial'!$H37*'FE Sectorial'!M37/1000/1000</f>
        <v>1512.7593191999999</v>
      </c>
      <c r="M38" s="17">
        <f>'Datos Actividad'!$L34*'FE Sectorial'!$H37*'FE Sectorial'!N37/1000/1000</f>
        <v>252.12655319999999</v>
      </c>
      <c r="N38" s="17">
        <f>'Datos Actividad'!$L34*'FE Sectorial'!$H37*'FE Sectorial'!O37/1000/1000</f>
        <v>0</v>
      </c>
      <c r="O38" s="87">
        <f>IF(D38&lt;400,H38+I38*'Factores generales'!$M$41+J38*'Factores generales'!$N$41,I38*'Factores generales'!$M$41+J38*'Factores generales'!$N$41)</f>
        <v>2817337.7434227602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Actividad'!$L35*'FE Sectorial'!$H38*'FE Sectorial'!I38*'FE Sectorial'!P38/1000</f>
        <v>2619679.1780250007</v>
      </c>
      <c r="I39" s="17">
        <f>'Datos Actividad'!$L35*'FE Sectorial'!$H38*'FE Sectorial'!J38/1000/1000</f>
        <v>10.126320750000003</v>
      </c>
      <c r="J39" s="17">
        <f>'Datos Actividad'!$L35*'FE Sectorial'!$H38*'FE Sectorial'!K38/1000/1000</f>
        <v>1.0126320750000002</v>
      </c>
      <c r="K39" s="17">
        <f>'Datos Actividad'!$L35*'FE Sectorial'!$H38*'FE Sectorial'!L38/1000/1000</f>
        <v>1518.9481125000002</v>
      </c>
      <c r="L39" s="17">
        <f>'Datos Actividad'!$L35*'FE Sectorial'!$H38*'FE Sectorial'!M38/1000/1000</f>
        <v>303.78962250000006</v>
      </c>
      <c r="M39" s="17">
        <f>'Datos Actividad'!$L35*'FE Sectorial'!$H38*'FE Sectorial'!N38/1000/1000</f>
        <v>50.631603750000011</v>
      </c>
      <c r="N39" s="17">
        <f>'Datos Actividad'!$L35*'FE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2620205.746704001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Actividad'!$L36*'FE Sectorial'!$H39*'FE Sectorial'!I39*'FE Sectorial'!P39/1000</f>
        <v>285765.90104700014</v>
      </c>
      <c r="I40" s="17">
        <f>'Datos Actividad'!$L36*'FE Sectorial'!$H39*'FE Sectorial'!J39/1000/1000</f>
        <v>6.4685115000000017</v>
      </c>
      <c r="J40" s="17">
        <f>'Datos Actividad'!$L36*'FE Sectorial'!$H39*'FE Sectorial'!K39/1000/1000</f>
        <v>0.64685115000000026</v>
      </c>
      <c r="K40" s="17">
        <f>'Datos Actividad'!$L36*'FE Sectorial'!$H39*'FE Sectorial'!L39/1000/1000</f>
        <v>970.27672500000017</v>
      </c>
      <c r="L40" s="17">
        <f>'Datos Actividad'!$L36*'FE Sectorial'!$H39*'FE Sectorial'!M39/1000/1000</f>
        <v>194.05534500000005</v>
      </c>
      <c r="M40" s="17">
        <f>'Datos Actividad'!$L36*'FE Sectorial'!$H39*'FE Sectorial'!N39/1000/1000</f>
        <v>32.342557500000005</v>
      </c>
      <c r="N40" s="17">
        <f>'Datos Actividad'!$L36*'FE Sectorial'!$H39*'FE Sectorial'!O39/1000/1000</f>
        <v>0</v>
      </c>
      <c r="O40" s="87">
        <f>IF(D40&lt;400,H40+I40*'Factores generales'!$M$41+J40*'Factores generales'!$N$41,I40*'Factores generales'!$M$41+J40*'Factores generales'!$N$41)</f>
        <v>286102.26364500012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Actividad'!$L37*'FE Sectorial'!$H40*'FE Sectorial'!I40*'FE Sectorial'!P40/1000</f>
        <v>0</v>
      </c>
      <c r="I41" s="17">
        <f>'Datos Actividad'!$L37*'FE Sectorial'!$H40*'FE Sectorial'!J40/1000/1000</f>
        <v>0</v>
      </c>
      <c r="J41" s="17">
        <f>'Datos Actividad'!$L37*'FE Sectorial'!$H40*'FE Sectorial'!K40/1000/1000</f>
        <v>0</v>
      </c>
      <c r="K41" s="17">
        <f>'Datos Actividad'!$L37*'FE Sectorial'!$H40*'FE Sectorial'!L40/1000/1000</f>
        <v>0</v>
      </c>
      <c r="L41" s="17">
        <f>'Datos Actividad'!$L37*'FE Sectorial'!$H40*'FE Sectorial'!M40/1000/1000</f>
        <v>0</v>
      </c>
      <c r="M41" s="17">
        <f>'Datos Actividad'!$L37*'FE Sectorial'!$H40*'FE Sectorial'!N40/1000/1000</f>
        <v>0</v>
      </c>
      <c r="N41" s="17">
        <f>'Datos Actividad'!$L37*'FE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Actividad'!$L38*'FE Sectorial'!$H41*'FE Sectorial'!I41*'FE Sectorial'!P41/1000</f>
        <v>38398.943721600001</v>
      </c>
      <c r="I42" s="17">
        <f>'Datos Actividad'!$L38*'FE Sectorial'!$H41*'FE Sectorial'!J41/1000/1000</f>
        <v>1.5033647999999997</v>
      </c>
      <c r="J42" s="17">
        <f>'Datos Actividad'!$L38*'FE Sectorial'!$H41*'FE Sectorial'!K41/1000/1000</f>
        <v>0.30067295999999999</v>
      </c>
      <c r="K42" s="17">
        <f>'Datos Actividad'!$L38*'FE Sectorial'!$H41*'FE Sectorial'!L41/1000/1000</f>
        <v>100.22432000000001</v>
      </c>
      <c r="L42" s="17">
        <f>'Datos Actividad'!$L38*'FE Sectorial'!$H41*'FE Sectorial'!M41/1000/1000</f>
        <v>5.0112160000000001</v>
      </c>
      <c r="M42" s="17">
        <f>'Datos Actividad'!$L38*'FE Sectorial'!$H41*'FE Sectorial'!N41/1000/1000</f>
        <v>2.5056080000000001</v>
      </c>
      <c r="N42" s="17">
        <f>'Datos Actividad'!$L38*'FE Sectorial'!$H41*'FE Sectorial'!O41/1000/1000</f>
        <v>99.231999999999999</v>
      </c>
      <c r="O42" s="87">
        <f>IF(D42&lt;400,H42+I42*'Factores generales'!$M$41+J42*'Factores generales'!$N$41,I42*'Factores generales'!$M$41+J42*'Factores generales'!$N$41)</f>
        <v>38523.722999999998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Actividad'!$L39*'FE Sectorial'!$H42*'FE Sectorial'!I42*'FE Sectorial'!P42/1000</f>
        <v>1706934.7450657894</v>
      </c>
      <c r="I43" s="17">
        <f>'Datos Actividad'!$L39*'FE Sectorial'!$H42*'FE Sectorial'!J42/1000/1000</f>
        <v>17.864309210526315</v>
      </c>
      <c r="J43" s="17">
        <f>'Datos Actividad'!$L39*'FE Sectorial'!$H42*'FE Sectorial'!K42/1000/1000</f>
        <v>26.79646381578948</v>
      </c>
      <c r="K43" s="17">
        <f>'Datos Actividad'!$L39*'FE Sectorial'!$H42*'FE Sectorial'!L42/1000/1000</f>
        <v>5359.292763157895</v>
      </c>
      <c r="L43" s="17">
        <f>'Datos Actividad'!$L39*'FE Sectorial'!$H42*'FE Sectorial'!M42/1000/1000</f>
        <v>2679.6463815789475</v>
      </c>
      <c r="M43" s="17">
        <f>'Datos Actividad'!$L39*'FE Sectorial'!$H42*'FE Sectorial'!N42/1000/1000</f>
        <v>357.28618421052636</v>
      </c>
      <c r="N43" s="17">
        <f>'Datos Actividad'!$L39*'FE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1715616.7993421054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Actividad'!$L40*'FE Sectorial'!$H43*'FE Sectorial'!I43*'FE Sectorial'!P43/1000</f>
        <v>677144.27083333337</v>
      </c>
      <c r="I44" s="17">
        <f>'Datos Actividad'!$L40*'FE Sectorial'!$H43*'FE Sectorial'!J43/1000/1000</f>
        <v>7.0868055555555554</v>
      </c>
      <c r="J44" s="17">
        <f>'Datos Actividad'!$L40*'FE Sectorial'!$H43*'FE Sectorial'!K43/1000/1000</f>
        <v>10.630208333333336</v>
      </c>
      <c r="K44" s="17">
        <f>'Datos Actividad'!$L40*'FE Sectorial'!$H43*'FE Sectorial'!L43/1000/1000</f>
        <v>2126.041666666667</v>
      </c>
      <c r="L44" s="17">
        <f>'Datos Actividad'!$L40*'FE Sectorial'!$H43*'FE Sectorial'!M43/1000/1000</f>
        <v>1063.0208333333335</v>
      </c>
      <c r="M44" s="17">
        <f>'Datos Actividad'!$L40*'FE Sectorial'!$H43*'FE Sectorial'!N43/1000/1000</f>
        <v>141.73611111111109</v>
      </c>
      <c r="N44" s="17">
        <f>'Datos Actividad'!$L40*'FE Sectorial'!$H43*'FE Sectorial'!O43/1000/1000</f>
        <v>0</v>
      </c>
      <c r="O44" s="87">
        <f>IF(D44&lt;400,H44+I44*'Factores generales'!$M$41+J44*'Factores generales'!$N$41,I44*'Factores generales'!$M$41+J44*'Factores generales'!$N$41)</f>
        <v>680588.45833333337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1039257.9807904802</v>
      </c>
      <c r="I45" s="134">
        <f t="shared" ref="I45:O45" si="12">I46</f>
        <v>18.61818864</v>
      </c>
      <c r="J45" s="134">
        <f t="shared" si="12"/>
        <v>1.8618188640000002</v>
      </c>
      <c r="K45" s="134">
        <f t="shared" si="12"/>
        <v>2792.7282960000002</v>
      </c>
      <c r="L45" s="134">
        <f t="shared" si="12"/>
        <v>558.54565920000005</v>
      </c>
      <c r="M45" s="134">
        <f t="shared" si="12"/>
        <v>93.090943200000012</v>
      </c>
      <c r="N45" s="134">
        <f t="shared" si="12"/>
        <v>0</v>
      </c>
      <c r="O45" s="134">
        <f t="shared" si="12"/>
        <v>1040226.1265997601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Actividad'!$L42*'FE Sectorial'!$H45*'FE Sectorial'!I45*'FE Sectorial'!P45/1000</f>
        <v>1039257.9807904802</v>
      </c>
      <c r="I46" s="17">
        <f>'Datos Actividad'!$L42*'FE Sectorial'!$H45*'FE Sectorial'!J45/1000/1000</f>
        <v>18.61818864</v>
      </c>
      <c r="J46" s="17">
        <f>'Datos Actividad'!$L42*'FE Sectorial'!$H45*'FE Sectorial'!K45/1000/1000</f>
        <v>1.8618188640000002</v>
      </c>
      <c r="K46" s="17">
        <f>'Datos Actividad'!$L42*'FE Sectorial'!$H45*'FE Sectorial'!L45/1000/1000</f>
        <v>2792.7282960000002</v>
      </c>
      <c r="L46" s="17">
        <f>'Datos Actividad'!$L42*'FE Sectorial'!$H45*'FE Sectorial'!M45/1000/1000</f>
        <v>558.54565920000005</v>
      </c>
      <c r="M46" s="17">
        <f>'Datos Actividad'!$L42*'FE Sectorial'!$H45*'FE Sectorial'!N45/1000/1000</f>
        <v>93.090943200000012</v>
      </c>
      <c r="N46" s="17">
        <f>'Datos Actividad'!$L42*'FE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1040226.1265997601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1196248.8871827743</v>
      </c>
      <c r="I47" s="134">
        <f t="shared" ref="I47:O47" si="13">SUM(I48:I55)</f>
        <v>121.45446831140399</v>
      </c>
      <c r="J47" s="134">
        <f t="shared" si="13"/>
        <v>15.524470074059749</v>
      </c>
      <c r="K47" s="134">
        <f t="shared" si="13"/>
        <v>3534.9209978654649</v>
      </c>
      <c r="L47" s="134">
        <f t="shared" si="13"/>
        <v>13944.496242392101</v>
      </c>
      <c r="M47" s="134">
        <f t="shared" si="13"/>
        <v>272.8177372650851</v>
      </c>
      <c r="N47" s="134">
        <f t="shared" si="13"/>
        <v>34.086239999999997</v>
      </c>
      <c r="O47" s="134">
        <f t="shared" si="13"/>
        <v>1203612.0167402723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Actividad'!$L44*'FE Sectorial'!$H47*'FE Sectorial'!I47*'FE Sectorial'!P47/1000</f>
        <v>1056701.9183886</v>
      </c>
      <c r="I48" s="17">
        <f>'Datos Actividad'!$L44*'FE Sectorial'!$H47*'FE Sectorial'!J47/1000/1000</f>
        <v>18.930694800000001</v>
      </c>
      <c r="J48" s="17">
        <f>'Datos Actividad'!$L44*'FE Sectorial'!$H47*'FE Sectorial'!K47/1000/1000</f>
        <v>1.8930694800000001</v>
      </c>
      <c r="K48" s="17">
        <f>'Datos Actividad'!$L44*'FE Sectorial'!$H47*'FE Sectorial'!L47/1000/1000</f>
        <v>2839.6042200000002</v>
      </c>
      <c r="L48" s="17">
        <f>'Datos Actividad'!$L44*'FE Sectorial'!$H47*'FE Sectorial'!M47/1000/1000</f>
        <v>567.92084399999999</v>
      </c>
      <c r="M48" s="17">
        <f>'Datos Actividad'!$L44*'FE Sectorial'!$H47*'FE Sectorial'!N47/1000/1000</f>
        <v>94.653474000000003</v>
      </c>
      <c r="N48" s="17">
        <f>'Datos Actividad'!$L44*'FE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1057686.3145182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Actividad'!$L45*'FE Sectorial'!$H48*'FE Sectorial'!I48*'FE Sectorial'!P48/1000</f>
        <v>114346.8978453741</v>
      </c>
      <c r="I49" s="17">
        <f>'Datos Actividad'!$L45*'FE Sectorial'!$H48*'FE Sectorial'!J48/1000/1000</f>
        <v>1.9951650238235292</v>
      </c>
      <c r="J49" s="17">
        <f>'Datos Actividad'!$L45*'FE Sectorial'!$H48*'FE Sectorial'!K48/1000/1000</f>
        <v>0.19951650238235294</v>
      </c>
      <c r="K49" s="17">
        <f>'Datos Actividad'!$L45*'FE Sectorial'!$H48*'FE Sectorial'!L48/1000/1000</f>
        <v>299.27475357352938</v>
      </c>
      <c r="L49" s="17">
        <f>'Datos Actividad'!$L45*'FE Sectorial'!$H48*'FE Sectorial'!M48/1000/1000</f>
        <v>59.854950714705879</v>
      </c>
      <c r="M49" s="17">
        <f>'Datos Actividad'!$L45*'FE Sectorial'!$H48*'FE Sectorial'!N48/1000/1000</f>
        <v>9.9758251191176459</v>
      </c>
      <c r="N49" s="17">
        <f>'Datos Actividad'!$L45*'FE Sectorial'!$H48*'FE Sectorial'!O48/1000/1000</f>
        <v>0</v>
      </c>
      <c r="O49" s="87">
        <f>IF(D49&lt;400,H49+I49*'Factores generales'!$M$41+J49*'Factores generales'!$N$41,I49*'Factores generales'!$M$41+J49*'Factores generales'!$N$41)</f>
        <v>114450.64642661293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Actividad'!$L46*'FE Sectorial'!$H49*'FE Sectorial'!I49*'FE Sectorial'!P49/1000</f>
        <v>391.15018800000001</v>
      </c>
      <c r="I50" s="17">
        <f>'Datos Actividad'!$L46*'FE Sectorial'!$H49*'FE Sectorial'!J49/1000/1000</f>
        <v>1.5996000000000003E-2</v>
      </c>
      <c r="J50" s="17">
        <f>'Datos Actividad'!$L46*'FE Sectorial'!$H49*'FE Sectorial'!K49/1000/1000</f>
        <v>3.1992000000000001E-3</v>
      </c>
      <c r="K50" s="17">
        <f>'Datos Actividad'!$L46*'FE Sectorial'!$H49*'FE Sectorial'!L49/1000/1000</f>
        <v>1.0664000000000002</v>
      </c>
      <c r="L50" s="17">
        <f>'Datos Actividad'!$L46*'FE Sectorial'!$H49*'FE Sectorial'!M49/1000/1000</f>
        <v>5.3320000000000006E-2</v>
      </c>
      <c r="M50" s="17">
        <f>'Datos Actividad'!$L46*'FE Sectorial'!$H49*'FE Sectorial'!N49/1000/1000</f>
        <v>2.6660000000000003E-2</v>
      </c>
      <c r="N50" s="17">
        <f>'Datos Actividad'!$L46*'FE Sectorial'!$H49*'FE Sectorial'!O49/1000/1000</f>
        <v>0.19344000000000003</v>
      </c>
      <c r="O50" s="87">
        <f>IF(D50&lt;400,H50+I50*'Factores generales'!$M$41+J50*'Factores generales'!$N$41,I50*'Factores generales'!$M$41+J50*'Factores generales'!$N$41)</f>
        <v>392.47785600000003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Actividad'!$L47*'FE Sectorial'!$H50*'FE Sectorial'!I50*'FE Sectorial'!P50/1000</f>
        <v>12008.240956799998</v>
      </c>
      <c r="I51" s="17">
        <f>'Datos Actividad'!$L47*'FE Sectorial'!$H50*'FE Sectorial'!J50/1000/1000</f>
        <v>0.19222719999999999</v>
      </c>
      <c r="J51" s="17">
        <f>'Datos Actividad'!$L47*'FE Sectorial'!$H50*'FE Sectorial'!K50/1000/1000</f>
        <v>1.9222719999999999E-2</v>
      </c>
      <c r="K51" s="17">
        <f>'Datos Actividad'!$L47*'FE Sectorial'!$H50*'FE Sectorial'!L50/1000/1000</f>
        <v>28.834079999999993</v>
      </c>
      <c r="L51" s="17">
        <f>'Datos Actividad'!$L47*'FE Sectorial'!$H50*'FE Sectorial'!M50/1000/1000</f>
        <v>5.7668159999999986</v>
      </c>
      <c r="M51" s="17">
        <f>'Datos Actividad'!$L47*'FE Sectorial'!$H50*'FE Sectorial'!N50/1000/1000</f>
        <v>0.96113599999999988</v>
      </c>
      <c r="N51" s="17">
        <f>'Datos Actividad'!$L47*'FE Sectorial'!$H50*'FE Sectorial'!O50/1000/1000</f>
        <v>0.81280000000000008</v>
      </c>
      <c r="O51" s="87">
        <f>IF(D51&lt;400,H51+I51*'Factores generales'!$M$41+J51*'Factores generales'!$N$41,I51*'Factores generales'!$M$41+J51*'Factores generales'!$N$41)</f>
        <v>12018.2367712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Actividad'!$L48*'FE Sectorial'!$H51*'FE Sectorial'!I51*'FE Sectorial'!P51/1000</f>
        <v>12800.679804000001</v>
      </c>
      <c r="I52" s="17">
        <f>'Datos Actividad'!$L48*'FE Sectorial'!$H51*'FE Sectorial'!J51/1000/1000</f>
        <v>0.501162</v>
      </c>
      <c r="J52" s="17">
        <f>'Datos Actividad'!$L48*'FE Sectorial'!$H51*'FE Sectorial'!K51/1000/1000</f>
        <v>0.1002324</v>
      </c>
      <c r="K52" s="17">
        <f>'Datos Actividad'!$L48*'FE Sectorial'!$H51*'FE Sectorial'!L51/1000/1000</f>
        <v>33.410800000000002</v>
      </c>
      <c r="L52" s="17">
        <f>'Datos Actividad'!$L48*'FE Sectorial'!$H51*'FE Sectorial'!M51/1000/1000</f>
        <v>1.6705399999999999</v>
      </c>
      <c r="M52" s="17">
        <f>'Datos Actividad'!$L48*'FE Sectorial'!$H51*'FE Sectorial'!N51/1000/1000</f>
        <v>0.83526999999999996</v>
      </c>
      <c r="N52" s="17">
        <f>'Datos Actividad'!$L48*'FE Sectorial'!$H51*'FE Sectorial'!O51/1000/1000</f>
        <v>33.08</v>
      </c>
      <c r="O52" s="87">
        <f>IF(D52&lt;400,H52+I52*'Factores generales'!$M$41+J52*'Factores generales'!$N$41,I52*'Factores generales'!$M$41+J52*'Factores generales'!$N$41)</f>
        <v>12842.276250000001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Actividad'!$L49*'FE Sectorial'!$H52*'FE Sectorial'!I52*'FE Sectorial'!P52/1000</f>
        <v>289475.74753398338</v>
      </c>
      <c r="I53" s="17">
        <f>'Datos Actividad'!$L49*'FE Sectorial'!$H52*'FE Sectorial'!J52/1000/1000</f>
        <v>99.819223287580456</v>
      </c>
      <c r="J53" s="17">
        <f>'Datos Actividad'!$L49*'FE Sectorial'!$H52*'FE Sectorial'!K52/1000/1000</f>
        <v>13.309229771677396</v>
      </c>
      <c r="K53" s="17">
        <f>'Datos Actividad'!$L49*'FE Sectorial'!$H52*'FE Sectorial'!L52/1000/1000</f>
        <v>332.73074429193491</v>
      </c>
      <c r="L53" s="17">
        <f>'Datos Actividad'!$L49*'FE Sectorial'!$H52*'FE Sectorial'!M52/1000/1000</f>
        <v>13309.229771677396</v>
      </c>
      <c r="M53" s="17">
        <f>'Datos Actividad'!$L49*'FE Sectorial'!$H52*'FE Sectorial'!N52/1000/1000</f>
        <v>166.36537214596746</v>
      </c>
      <c r="N53" s="17">
        <f>'Datos Actividad'!$L49*'FE Sectorial'!$H52*'FE Sectorial'!O52/1000/1000</f>
        <v>0</v>
      </c>
      <c r="O53" s="87">
        <f>IF(D53&lt;400,H53+I53*'Factores generales'!$M$41+J53*'Factores generales'!$N$41,I53*'Factores generales'!$M$41+J53*'Factores generales'!$N$41)</f>
        <v>6222.0649182591824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Actividad'!$L50*'FE Sectorial'!$H53*'FE Sectorial'!I53*'FE Sectorial'!P53/1000</f>
        <v>0</v>
      </c>
      <c r="I54" s="17">
        <f>'Datos Actividad'!$L50*'FE Sectorial'!$H53*'FE Sectorial'!J53/1000/1000</f>
        <v>0</v>
      </c>
      <c r="J54" s="17">
        <f>'Datos Actividad'!$L50*'FE Sectorial'!$H53*'FE Sectorial'!K53/1000/1000</f>
        <v>0</v>
      </c>
      <c r="K54" s="17">
        <f>'Datos Actividad'!$L50*'FE Sectorial'!$H53*'FE Sectorial'!L53/1000/1000</f>
        <v>0</v>
      </c>
      <c r="L54" s="17">
        <f>'Datos Actividad'!$L50*'FE Sectorial'!$H53*'FE Sectorial'!M53/1000/1000</f>
        <v>0</v>
      </c>
      <c r="M54" s="17">
        <f>'Datos Actividad'!$L50*'FE Sectorial'!$H53*'FE Sectorial'!N53/1000/1000</f>
        <v>0</v>
      </c>
      <c r="N54" s="17">
        <f>'Datos Actividad'!$L50*'FE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Actividad'!$L51*'FE Sectorial'!$H54*'FE Sectorial'!I54*'FE Sectorial'!P54/1000</f>
        <v>0</v>
      </c>
      <c r="I55" s="17">
        <f>'Datos Actividad'!$L51*'FE Sectorial'!$H54*'FE Sectorial'!J54/1000/1000</f>
        <v>0</v>
      </c>
      <c r="J55" s="17">
        <f>'Datos Actividad'!$L51*'FE Sectorial'!$H54*'FE Sectorial'!K54/1000/1000</f>
        <v>0</v>
      </c>
      <c r="K55" s="17">
        <f>'Datos Actividad'!$L51*'FE Sectorial'!$H54*'FE Sectorial'!L54/1000/1000</f>
        <v>0</v>
      </c>
      <c r="L55" s="17">
        <f>'Datos Actividad'!$L51*'FE Sectorial'!$H54*'FE Sectorial'!M54/1000/1000</f>
        <v>0</v>
      </c>
      <c r="M55" s="17">
        <f>'Datos Actividad'!$L51*'FE Sectorial'!$H54*'FE Sectorial'!N54/1000/1000</f>
        <v>0</v>
      </c>
      <c r="N55" s="17">
        <f>'Datos Actividad'!$L51*'FE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853467.39314892003</v>
      </c>
      <c r="I56" s="134">
        <f>SUM(I57:I62)</f>
        <v>711.03531104758042</v>
      </c>
      <c r="J56" s="134">
        <f t="shared" ref="J56:O56" si="14">SUM(J57:J62)</f>
        <v>94.705003027677392</v>
      </c>
      <c r="K56" s="134">
        <f t="shared" si="14"/>
        <v>4593.7276422919349</v>
      </c>
      <c r="L56" s="134">
        <f t="shared" si="14"/>
        <v>82669.835914477386</v>
      </c>
      <c r="M56" s="134">
        <f t="shared" si="14"/>
        <v>1228.3921189459675</v>
      </c>
      <c r="N56" s="134">
        <f t="shared" si="14"/>
        <v>1630.0658000000001</v>
      </c>
      <c r="O56" s="134">
        <f t="shared" si="14"/>
        <v>897757.68561949919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Actividad'!$L53*'FE Sectorial'!$H56*'FE Sectorial'!I56*'FE Sectorial'!P56/1000</f>
        <v>725652.39254112006</v>
      </c>
      <c r="I57" s="17">
        <f>'Datos Actividad'!$L53*'FE Sectorial'!$H56*'FE Sectorial'!J56/1000/1000</f>
        <v>12.999980160000002</v>
      </c>
      <c r="J57" s="17">
        <f>'Datos Actividad'!$L53*'FE Sectorial'!$H56*'FE Sectorial'!K56/1000/1000</f>
        <v>1.299998016</v>
      </c>
      <c r="K57" s="17">
        <f>'Datos Actividad'!$L53*'FE Sectorial'!$H56*'FE Sectorial'!L56/1000/1000</f>
        <v>1949.997024</v>
      </c>
      <c r="L57" s="17">
        <f>'Datos Actividad'!$L53*'FE Sectorial'!$H56*'FE Sectorial'!M56/1000/1000</f>
        <v>389.99940480000004</v>
      </c>
      <c r="M57" s="17">
        <f>'Datos Actividad'!$L53*'FE Sectorial'!$H56*'FE Sectorial'!N56/1000/1000</f>
        <v>64.999900799999992</v>
      </c>
      <c r="N57" s="17">
        <f>'Datos Actividad'!$L53*'FE Sectorial'!$H56*'FE Sectorial'!O56/1000/1000</f>
        <v>0</v>
      </c>
      <c r="O57" s="87">
        <f>IF(D57&lt;400,H57+I57*'Factores generales'!$M$41+J57*'Factores generales'!$N$41,I57*'Factores generales'!$M$41+J57*'Factores generales'!$N$41)</f>
        <v>726328.39150944015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Actividad'!$L54*'FE Sectorial'!$H57*'FE Sectorial'!I57*'FE Sectorial'!P57/1000</f>
        <v>173.494035</v>
      </c>
      <c r="I58" s="17">
        <f>'Datos Actividad'!$L54*'FE Sectorial'!$H57*'FE Sectorial'!J57/1000/1000</f>
        <v>7.0949999999999997E-3</v>
      </c>
      <c r="J58" s="17">
        <f>'Datos Actividad'!$L54*'FE Sectorial'!$H57*'FE Sectorial'!K57/1000/1000</f>
        <v>1.4190000000000001E-3</v>
      </c>
      <c r="K58" s="17">
        <f>'Datos Actividad'!$L54*'FE Sectorial'!$H57*'FE Sectorial'!L57/1000/1000</f>
        <v>0.47299999999999998</v>
      </c>
      <c r="L58" s="17">
        <f>'Datos Actividad'!$L54*'FE Sectorial'!$H57*'FE Sectorial'!M57/1000/1000</f>
        <v>2.3649999999999997E-2</v>
      </c>
      <c r="M58" s="17">
        <f>'Datos Actividad'!$L54*'FE Sectorial'!$H57*'FE Sectorial'!N57/1000/1000</f>
        <v>1.1824999999999999E-2</v>
      </c>
      <c r="N58" s="17">
        <f>'Datos Actividad'!$L54*'FE Sectorial'!$H57*'FE Sectorial'!O57/1000/1000</f>
        <v>8.5800000000000001E-2</v>
      </c>
      <c r="O58" s="87">
        <f>IF(D58&lt;400,H58+I58*'Factores generales'!$M$41+J58*'Factores generales'!$N$41,I58*'Factores generales'!$M$41+J58*'Factores generales'!$N$41)</f>
        <v>174.08292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Actividad'!$L55*'FE Sectorial'!$H58*'FE Sectorial'!I58*'FE Sectorial'!P58/1000</f>
        <v>127641.5065728</v>
      </c>
      <c r="I59" s="17">
        <f>'Datos Actividad'!$L55*'FE Sectorial'!$H58*'FE Sectorial'!J58/1000/1000</f>
        <v>4.9973184000000002</v>
      </c>
      <c r="J59" s="17">
        <f>'Datos Actividad'!$L55*'FE Sectorial'!$H58*'FE Sectorial'!K58/1000/1000</f>
        <v>0.99946367999999997</v>
      </c>
      <c r="K59" s="17">
        <f>'Datos Actividad'!$L55*'FE Sectorial'!$H58*'FE Sectorial'!L58/1000/1000</f>
        <v>333.15456</v>
      </c>
      <c r="L59" s="17">
        <f>'Datos Actividad'!$L55*'FE Sectorial'!$H58*'FE Sectorial'!M58/1000/1000</f>
        <v>16.657727999999999</v>
      </c>
      <c r="M59" s="17">
        <f>'Datos Actividad'!$L55*'FE Sectorial'!$H58*'FE Sectorial'!N58/1000/1000</f>
        <v>8.3288639999999994</v>
      </c>
      <c r="N59" s="17">
        <f>'Datos Actividad'!$L55*'FE Sectorial'!$H58*'FE Sectorial'!O58/1000/1000</f>
        <v>329.85599999999999</v>
      </c>
      <c r="O59" s="87">
        <f>IF(D59&lt;400,H59+I59*'Factores generales'!$M$41+J59*'Factores generales'!$N$41,I59*'Factores generales'!$M$41+J59*'Factores generales'!$N$41)</f>
        <v>128056.284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Actividad'!$L56*'FE Sectorial'!$H59*'FE Sectorial'!I59*'FE Sectorial'!P59/1000</f>
        <v>915585.24557999999</v>
      </c>
      <c r="I60" s="17">
        <f>'Datos Actividad'!$L56*'FE Sectorial'!$H59*'FE Sectorial'!J59/1000/1000</f>
        <v>315.71905019999997</v>
      </c>
      <c r="J60" s="17">
        <f>'Datos Actividad'!$L56*'FE Sectorial'!$H59*'FE Sectorial'!K59/1000/1000</f>
        <v>42.095873359999999</v>
      </c>
      <c r="K60" s="17">
        <f>'Datos Actividad'!$L56*'FE Sectorial'!$H59*'FE Sectorial'!L59/1000/1000</f>
        <v>1052.3968340000001</v>
      </c>
      <c r="L60" s="17">
        <f>'Datos Actividad'!$L56*'FE Sectorial'!$H59*'FE Sectorial'!M59/1000/1000</f>
        <v>42095.873359999998</v>
      </c>
      <c r="M60" s="17">
        <f>'Datos Actividad'!$L56*'FE Sectorial'!$H59*'FE Sectorial'!N59/1000/1000</f>
        <v>526.19841700000006</v>
      </c>
      <c r="N60" s="17">
        <f>'Datos Actividad'!$L56*'FE Sectorial'!$H59*'FE Sectorial'!O59/1000/1000</f>
        <v>0</v>
      </c>
      <c r="O60" s="87">
        <f>IF(D60&lt;400,H60+I60*'Factores generales'!$M$41+J60*'Factores generales'!$N$41,I60*'Factores generales'!$M$41+J60*'Factores generales'!$N$41)</f>
        <v>19679.820795799998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Actividad'!$L57*'FE Sectorial'!$H60*'FE Sectorial'!I60*'FE Sectorial'!P60/1000</f>
        <v>494067.9219839999</v>
      </c>
      <c r="I61" s="17">
        <f>'Datos Actividad'!$L57*'FE Sectorial'!$H60*'FE Sectorial'!J60/1000/1000</f>
        <v>152.114508</v>
      </c>
      <c r="J61" s="17">
        <f>'Datos Actividad'!$L57*'FE Sectorial'!$H60*'FE Sectorial'!K60/1000/1000</f>
        <v>20.281934399999997</v>
      </c>
      <c r="K61" s="17">
        <f>'Datos Actividad'!$L57*'FE Sectorial'!$H60*'FE Sectorial'!L60/1000/1000</f>
        <v>507.04835999999995</v>
      </c>
      <c r="L61" s="17">
        <f>'Datos Actividad'!$L57*'FE Sectorial'!$H60*'FE Sectorial'!M60/1000/1000</f>
        <v>10140.967199999999</v>
      </c>
      <c r="M61" s="17">
        <f>'Datos Actividad'!$L57*'FE Sectorial'!$H60*'FE Sectorial'!N60/1000/1000</f>
        <v>253.52417999999997</v>
      </c>
      <c r="N61" s="17">
        <f>'Datos Actividad'!$L57*'FE Sectorial'!$H60*'FE Sectorial'!O60/1000/1000</f>
        <v>1300.124</v>
      </c>
      <c r="O61" s="87">
        <f>IF(D61&lt;400,H61+I61*'Factores generales'!$M$41+J61*'Factores generales'!$N$41,I61*'Factores generales'!$M$41+J61*'Factores generales'!$N$41)</f>
        <v>9481.8043319999997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Actividad'!$L58*'FE Sectorial'!$H61*'FE Sectorial'!I61*'FE Sectorial'!P61/1000</f>
        <v>653072.34193398338</v>
      </c>
      <c r="I62" s="17">
        <f>'Datos Actividad'!$L58*'FE Sectorial'!$H61*'FE Sectorial'!J61/1000/1000</f>
        <v>225.19735928758044</v>
      </c>
      <c r="J62" s="17">
        <f>'Datos Actividad'!$L58*'FE Sectorial'!$H61*'FE Sectorial'!K61/1000/1000</f>
        <v>30.026314571677393</v>
      </c>
      <c r="K62" s="17">
        <f>'Datos Actividad'!$L58*'FE Sectorial'!$H61*'FE Sectorial'!L61/1000/1000</f>
        <v>750.65786429193486</v>
      </c>
      <c r="L62" s="17">
        <f>'Datos Actividad'!$L58*'FE Sectorial'!$H61*'FE Sectorial'!M61/1000/1000</f>
        <v>30026.314571677394</v>
      </c>
      <c r="M62" s="17">
        <f>'Datos Actividad'!$L58*'FE Sectorial'!$H61*'FE Sectorial'!N61/1000/1000</f>
        <v>375.32893214596743</v>
      </c>
      <c r="N62" s="17">
        <f>'Datos Actividad'!$L58*'FE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14037.302062259181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3104757.0375346802</v>
      </c>
      <c r="I63" s="134">
        <f>SUM(I64:I69)</f>
        <v>1970.1212473275802</v>
      </c>
      <c r="J63" s="134">
        <f t="shared" ref="J63:O63" si="15">SUM(J64:J69)</f>
        <v>260.85734472901072</v>
      </c>
      <c r="K63" s="134">
        <f t="shared" si="15"/>
        <v>14723.948159625266</v>
      </c>
      <c r="L63" s="134">
        <f t="shared" si="15"/>
        <v>256822.78051621074</v>
      </c>
      <c r="M63" s="134">
        <f t="shared" si="15"/>
        <v>3468.4156210126343</v>
      </c>
      <c r="N63" s="134">
        <f t="shared" si="15"/>
        <v>26.265680000000003</v>
      </c>
      <c r="O63" s="134">
        <f t="shared" si="15"/>
        <v>3226995.3605945525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Actividad'!$L60*'FE Sectorial'!$H63*'FE Sectorial'!I63*'FE Sectorial'!P63/1000</f>
        <v>3095976.2445334801</v>
      </c>
      <c r="I64" s="17">
        <f>'Datos Actividad'!$L60*'FE Sectorial'!$H63*'FE Sectorial'!J63/1000/1000</f>
        <v>55.464062640000002</v>
      </c>
      <c r="J64" s="17">
        <f>'Datos Actividad'!$L60*'FE Sectorial'!$H63*'FE Sectorial'!K63/1000/1000</f>
        <v>5.5464062639999998</v>
      </c>
      <c r="K64" s="17">
        <f>'Datos Actividad'!$L60*'FE Sectorial'!$H63*'FE Sectorial'!L63/1000/1000</f>
        <v>8319.6093959999998</v>
      </c>
      <c r="L64" s="17">
        <f>'Datos Actividad'!$L60*'FE Sectorial'!$H63*'FE Sectorial'!M63/1000/1000</f>
        <v>1663.9218792000001</v>
      </c>
      <c r="M64" s="17">
        <f>'Datos Actividad'!$L60*'FE Sectorial'!$H63*'FE Sectorial'!N63/1000/1000</f>
        <v>277.32031319999999</v>
      </c>
      <c r="N64" s="17">
        <f>'Datos Actividad'!$L60*'FE Sectorial'!$H63*'FE Sectorial'!O63/1000/1000</f>
        <v>0</v>
      </c>
      <c r="O64" s="87">
        <f>IF(D64&lt;400,H64+I64*'Factores generales'!$M$41+J64*'Factores generales'!$N$41,I64*'Factores generales'!$M$41+J64*'Factores generales'!$N$41)</f>
        <v>3098860.3757907599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Actividad'!$L61*'FE Sectorial'!$H64*'FE Sectorial'!I64*'FE Sectorial'!P64/1000</f>
        <v>3400.4830859999997</v>
      </c>
      <c r="I65" s="17">
        <f>'Datos Actividad'!$L61*'FE Sectorial'!$H64*'FE Sectorial'!J64/1000/1000</f>
        <v>0.13906200000000002</v>
      </c>
      <c r="J65" s="17">
        <f>'Datos Actividad'!$L61*'FE Sectorial'!$H64*'FE Sectorial'!K64/1000/1000</f>
        <v>2.7812399999999998E-2</v>
      </c>
      <c r="K65" s="17">
        <f>'Datos Actividad'!$L61*'FE Sectorial'!$H64*'FE Sectorial'!L64/1000/1000</f>
        <v>9.2707999999999995</v>
      </c>
      <c r="L65" s="17">
        <f>'Datos Actividad'!$L61*'FE Sectorial'!$H64*'FE Sectorial'!M64/1000/1000</f>
        <v>0.46354000000000001</v>
      </c>
      <c r="M65" s="17">
        <f>'Datos Actividad'!$L61*'FE Sectorial'!$H64*'FE Sectorial'!N64/1000/1000</f>
        <v>0.23177</v>
      </c>
      <c r="N65" s="17">
        <f>'Datos Actividad'!$L61*'FE Sectorial'!$H64*'FE Sectorial'!O64/1000/1000</f>
        <v>1.6816800000000001</v>
      </c>
      <c r="O65" s="87">
        <f>IF(D65&lt;400,H65+I65*'Factores generales'!$M$41+J65*'Factores generales'!$N$41,I65*'Factores generales'!$M$41+J65*'Factores generales'!$N$41)</f>
        <v>3412.0252319999995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Actividad'!$L62*'FE Sectorial'!$H65*'FE Sectorial'!I65*'FE Sectorial'!P65/1000</f>
        <v>5380.3099152000004</v>
      </c>
      <c r="I66" s="17">
        <f>'Datos Actividad'!$L62*'FE Sectorial'!$H65*'FE Sectorial'!J65/1000/1000</f>
        <v>0.21064559999999996</v>
      </c>
      <c r="J66" s="17">
        <f>'Datos Actividad'!$L62*'FE Sectorial'!$H65*'FE Sectorial'!K65/1000/1000</f>
        <v>4.2129119999999992E-2</v>
      </c>
      <c r="K66" s="17">
        <f>'Datos Actividad'!$L62*'FE Sectorial'!$H65*'FE Sectorial'!L65/1000/1000</f>
        <v>14.043040000000001</v>
      </c>
      <c r="L66" s="17">
        <f>'Datos Actividad'!$L62*'FE Sectorial'!$H65*'FE Sectorial'!M65/1000/1000</f>
        <v>0.702152</v>
      </c>
      <c r="M66" s="17">
        <f>'Datos Actividad'!$L62*'FE Sectorial'!$H65*'FE Sectorial'!N65/1000/1000</f>
        <v>0.351076</v>
      </c>
      <c r="N66" s="17">
        <f>'Datos Actividad'!$L62*'FE Sectorial'!$H65*'FE Sectorial'!O65/1000/1000</f>
        <v>13.904</v>
      </c>
      <c r="O66" s="87">
        <f>IF(D66&lt;400,H66+I66*'Factores generales'!$M$41+J66*'Factores generales'!$N$41,I66*'Factores generales'!$M$41+J66*'Factores generales'!$N$41)</f>
        <v>5397.7935000000007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Actividad'!$L63*'FE Sectorial'!$H66*'FE Sectorial'!I66*'FE Sectorial'!P66/1000</f>
        <v>5188316.3916199999</v>
      </c>
      <c r="I67" s="17">
        <f>'Datos Actividad'!$L63*'FE Sectorial'!$H66*'FE Sectorial'!J66/1000/1000</f>
        <v>1789.0746177999999</v>
      </c>
      <c r="J67" s="17">
        <f>'Datos Actividad'!$L63*'FE Sectorial'!$H66*'FE Sectorial'!K66/1000/1000</f>
        <v>238.54328237333331</v>
      </c>
      <c r="K67" s="17">
        <f>'Datos Actividad'!$L63*'FE Sectorial'!$H66*'FE Sectorial'!L66/1000/1000</f>
        <v>5963.5820593333328</v>
      </c>
      <c r="L67" s="17">
        <f>'Datos Actividad'!$L63*'FE Sectorial'!$H66*'FE Sectorial'!M66/1000/1000</f>
        <v>238543.28237333332</v>
      </c>
      <c r="M67" s="17">
        <f>'Datos Actividad'!$L63*'FE Sectorial'!$H66*'FE Sectorial'!N66/1000/1000</f>
        <v>2981.7910296666664</v>
      </c>
      <c r="N67" s="17">
        <f>'Datos Actividad'!$L63*'FE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111518.98450953333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Actividad'!$L64*'FE Sectorial'!$H67*'FE Sectorial'!I67*'FE Sectorial'!P67/1000</f>
        <v>4058.5708800000007</v>
      </c>
      <c r="I68" s="17">
        <f>'Datos Actividad'!$L64*'FE Sectorial'!$H67*'FE Sectorial'!J67/1000/1000</f>
        <v>1.2495600000000002</v>
      </c>
      <c r="J68" s="17">
        <f>'Datos Actividad'!$L64*'FE Sectorial'!$H67*'FE Sectorial'!K67/1000/1000</f>
        <v>0.16660800000000003</v>
      </c>
      <c r="K68" s="17">
        <f>'Datos Actividad'!$L64*'FE Sectorial'!$H67*'FE Sectorial'!L67/1000/1000</f>
        <v>4.1652000000000005</v>
      </c>
      <c r="L68" s="17">
        <f>'Datos Actividad'!$L64*'FE Sectorial'!$H67*'FE Sectorial'!M67/1000/1000</f>
        <v>83.304000000000016</v>
      </c>
      <c r="M68" s="17">
        <f>'Datos Actividad'!$L64*'FE Sectorial'!$H67*'FE Sectorial'!N67/1000/1000</f>
        <v>2.0826000000000002</v>
      </c>
      <c r="N68" s="17">
        <f>'Datos Actividad'!$L64*'FE Sectorial'!$H67*'FE Sectorial'!O67/1000/1000</f>
        <v>10.680000000000001</v>
      </c>
      <c r="O68" s="87">
        <f>IF(D68&lt;400,H68+I68*'Factores generales'!$M$41+J68*'Factores generales'!$N$41,I68*'Factores generales'!$M$41+J68*'Factores generales'!$N$41)</f>
        <v>77.889240000000015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Actividad'!$L65*'FE Sectorial'!$H68*'FE Sectorial'!I68*'FE Sectorial'!P68/1000</f>
        <v>359551.5679339834</v>
      </c>
      <c r="I69" s="17">
        <f>'Datos Actividad'!$L65*'FE Sectorial'!$H68*'FE Sectorial'!J68/1000/1000</f>
        <v>123.98329928758048</v>
      </c>
      <c r="J69" s="17">
        <f>'Datos Actividad'!$L65*'FE Sectorial'!$H68*'FE Sectorial'!K68/1000/1000</f>
        <v>16.531106571677395</v>
      </c>
      <c r="K69" s="17">
        <f>'Datos Actividad'!$L65*'FE Sectorial'!$H68*'FE Sectorial'!L68/1000/1000</f>
        <v>413.27766429193491</v>
      </c>
      <c r="L69" s="17">
        <f>'Datos Actividad'!$L65*'FE Sectorial'!$H68*'FE Sectorial'!M68/1000/1000</f>
        <v>16531.106571677396</v>
      </c>
      <c r="M69" s="17">
        <f>'Datos Actividad'!$L65*'FE Sectorial'!$H68*'FE Sectorial'!N68/1000/1000</f>
        <v>206.63883214596746</v>
      </c>
      <c r="N69" s="17">
        <f>'Datos Actividad'!$L65*'FE Sectorial'!$H68*'FE Sectorial'!O68/1000/1000</f>
        <v>0</v>
      </c>
      <c r="O69" s="87">
        <f>IF(D69&lt;400,H69+I69*'Factores generales'!$M$41+J69*'Factores generales'!$N$41,I69*'Factores generales'!$M$41+J69*'Factores generales'!$N$41)</f>
        <v>7728.2923222591817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10730040.746264964</v>
      </c>
      <c r="I70" s="134">
        <f t="shared" si="16"/>
        <v>587.41655755085185</v>
      </c>
      <c r="J70" s="134">
        <f t="shared" si="16"/>
        <v>84.974384652121174</v>
      </c>
      <c r="K70" s="134">
        <f t="shared" si="16"/>
        <v>30184.348895672469</v>
      </c>
      <c r="L70" s="134">
        <f t="shared" si="16"/>
        <v>35489.786483145959</v>
      </c>
      <c r="M70" s="134">
        <f t="shared" si="16"/>
        <v>1609.1594945608006</v>
      </c>
      <c r="N70" s="134">
        <f t="shared" si="16"/>
        <v>4303.8875941210545</v>
      </c>
      <c r="O70" s="134">
        <f t="shared" si="16"/>
        <v>10768718.55321569</v>
      </c>
    </row>
    <row r="71" spans="1:15" outlineLevel="1" x14ac:dyDescent="0.25">
      <c r="B71" s="1" t="s">
        <v>36</v>
      </c>
      <c r="G71" s="1"/>
      <c r="H71" s="15">
        <f>H72+H73+H74+H76</f>
        <v>3285414.1116850236</v>
      </c>
      <c r="I71" s="15">
        <f>SUM(I72:I76)</f>
        <v>193.02065380814642</v>
      </c>
      <c r="J71" s="15">
        <f t="shared" ref="J71:O71" si="17">SUM(J72:J76)</f>
        <v>32.257328225437071</v>
      </c>
      <c r="K71" s="15">
        <f t="shared" si="17"/>
        <v>9547.4055643569809</v>
      </c>
      <c r="L71" s="15">
        <f t="shared" si="17"/>
        <v>11576.873607013273</v>
      </c>
      <c r="M71" s="15">
        <f t="shared" si="17"/>
        <v>592.99371378901606</v>
      </c>
      <c r="N71" s="15">
        <f t="shared" si="17"/>
        <v>1183.3840156521737</v>
      </c>
      <c r="O71" s="15">
        <f t="shared" si="17"/>
        <v>3299467.3171648798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Actividad'!$L68*'FE Sectorial'!$H71*'FE Sectorial'!I71*'FE Sectorial'!P71/1000</f>
        <v>2714868.1081407601</v>
      </c>
      <c r="I72" s="17">
        <f>'Datos Actividad'!$L68*'FE Sectorial'!$H71*'FE Sectorial'!J71/1000/1000</f>
        <v>48.636553679999999</v>
      </c>
      <c r="J72" s="17">
        <f>'Datos Actividad'!$L68*'FE Sectorial'!$H71*'FE Sectorial'!K71/1000/1000</f>
        <v>4.8636553679999999</v>
      </c>
      <c r="K72" s="17">
        <f>'Datos Actividad'!$L68*'FE Sectorial'!$H71*'FE Sectorial'!L71/1000/1000</f>
        <v>7295.4830520000005</v>
      </c>
      <c r="L72" s="17">
        <f>'Datos Actividad'!$L68*'FE Sectorial'!$H71*'FE Sectorial'!M71/1000/1000</f>
        <v>1459.0966104000001</v>
      </c>
      <c r="M72" s="17">
        <f>'Datos Actividad'!$L68*'FE Sectorial'!$H71*'FE Sectorial'!N71/1000/1000</f>
        <v>243.18276840000001</v>
      </c>
      <c r="N72" s="17">
        <f>'Datos Actividad'!$L68*'FE Sectorial'!$H71*'FE Sectorial'!O71/1000/1000</f>
        <v>0</v>
      </c>
      <c r="O72" s="87">
        <f>IF(D72&lt;400,H72+I72*'Factores generales'!$M$41+J72*'Factores generales'!$N$41,I72*'Factores generales'!$M$41+J72*'Factores generales'!$N$41)</f>
        <v>2717397.2089321199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Actividad'!$L69*'FE Sectorial'!$H72*'FE Sectorial'!I72*'FE Sectorial'!P72/1000</f>
        <v>1567.7551889999995</v>
      </c>
      <c r="I73" s="17">
        <f>'Datos Actividad'!$L69*'FE Sectorial'!$H72*'FE Sectorial'!J72/1000/1000</f>
        <v>6.4112999999999989E-2</v>
      </c>
      <c r="J73" s="17">
        <f>'Datos Actividad'!$L69*'FE Sectorial'!$H72*'FE Sectorial'!K72/1000/1000</f>
        <v>1.2822599999999997E-2</v>
      </c>
      <c r="K73" s="17">
        <f>'Datos Actividad'!$L69*'FE Sectorial'!$H72*'FE Sectorial'!L72/1000/1000</f>
        <v>4.2741999999999987</v>
      </c>
      <c r="L73" s="17">
        <f>'Datos Actividad'!$L69*'FE Sectorial'!$H72*'FE Sectorial'!M72/1000/1000</f>
        <v>0.21370999999999998</v>
      </c>
      <c r="M73" s="17">
        <f>'Datos Actividad'!$L69*'FE Sectorial'!$H72*'FE Sectorial'!N72/1000/1000</f>
        <v>0.10685499999999999</v>
      </c>
      <c r="N73" s="17">
        <f>'Datos Actividad'!$L69*'FE Sectorial'!$H72*'FE Sectorial'!O72/1000/1000</f>
        <v>0.7753199999999999</v>
      </c>
      <c r="O73" s="87">
        <f>IF(D73&lt;400,H73+I73*'Factores generales'!$M$41+J73*'Factores generales'!$N$41,I73*'Factores generales'!$M$41+J73*'Factores generales'!$N$41)</f>
        <v>1573.0765679999995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Actividad'!$L70*'FE Sectorial'!$H73*'FE Sectorial'!I73*'FE Sectorial'!P73/1000</f>
        <v>568978.24835526315</v>
      </c>
      <c r="I74" s="17">
        <f>'Datos Actividad'!$L70*'FE Sectorial'!$H73*'FE Sectorial'!J73/1000/1000</f>
        <v>5.9547697368421053</v>
      </c>
      <c r="J74" s="17">
        <f>'Datos Actividad'!$L70*'FE Sectorial'!$H73*'FE Sectorial'!K73/1000/1000</f>
        <v>8.9321546052631575</v>
      </c>
      <c r="K74" s="17">
        <f>'Datos Actividad'!$L70*'FE Sectorial'!$H73*'FE Sectorial'!L73/1000/1000</f>
        <v>1786.4309210526317</v>
      </c>
      <c r="L74" s="17">
        <f>'Datos Actividad'!$L70*'FE Sectorial'!$H73*'FE Sectorial'!M73/1000/1000</f>
        <v>893.21546052631584</v>
      </c>
      <c r="M74" s="17">
        <f>'Datos Actividad'!$L70*'FE Sectorial'!$H73*'FE Sectorial'!N73/1000/1000</f>
        <v>119.0953947368421</v>
      </c>
      <c r="N74" s="17">
        <f>'Datos Actividad'!$L70*'FE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571872.26644736843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Actividad'!$L71*'FE Sectorial'!$H74*'FE Sectorial'!I74*'FE Sectorial'!P74/1000</f>
        <v>449410.22608695645</v>
      </c>
      <c r="I75" s="17">
        <f>'Datos Actividad'!$L71*'FE Sectorial'!$H74*'FE Sectorial'!J74/1000/1000</f>
        <v>138.36521739130433</v>
      </c>
      <c r="J75" s="17">
        <f>'Datos Actividad'!$L71*'FE Sectorial'!$H74*'FE Sectorial'!K74/1000/1000</f>
        <v>18.448695652173914</v>
      </c>
      <c r="K75" s="17">
        <f>'Datos Actividad'!$L71*'FE Sectorial'!$H74*'FE Sectorial'!L74/1000/1000</f>
        <v>461.21739130434776</v>
      </c>
      <c r="L75" s="17">
        <f>'Datos Actividad'!$L71*'FE Sectorial'!$H74*'FE Sectorial'!M74/1000/1000</f>
        <v>9224.347826086956</v>
      </c>
      <c r="M75" s="17">
        <f>'Datos Actividad'!$L71*'FE Sectorial'!$H74*'FE Sectorial'!N74/1000/1000</f>
        <v>230.60869565217388</v>
      </c>
      <c r="N75" s="17">
        <f>'Datos Actividad'!$L71*'FE Sectorial'!$H74*'FE Sectorial'!O74/1000/1000</f>
        <v>1182.6086956521738</v>
      </c>
      <c r="O75" s="87">
        <f>IF(D75&lt;400,H75+I75*'Factores generales'!$M$41+J75*'Factores generales'!$N$41,I75*'Factores generales'!$M$41+J75*'Factores generales'!$N$41)</f>
        <v>8624.7652173913048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Actividad'!$L72*'FE Sectorial'!$H75*'FE Sectorial'!I75*'FE Sectorial'!P75/1000</f>
        <v>0</v>
      </c>
      <c r="I76" s="17">
        <f>'Datos Actividad'!$L72*'FE Sectorial'!$H75*'FE Sectorial'!J75/1000/1000</f>
        <v>0</v>
      </c>
      <c r="J76" s="17">
        <f>'Datos Actividad'!$L72*'FE Sectorial'!$H75*'FE Sectorial'!K75/1000/1000</f>
        <v>0</v>
      </c>
      <c r="K76" s="17">
        <f>'Datos Actividad'!$L72*'FE Sectorial'!$H75*'FE Sectorial'!L75/1000/1000</f>
        <v>0</v>
      </c>
      <c r="L76" s="17">
        <f>'Datos Actividad'!$L72*'FE Sectorial'!$H75*'FE Sectorial'!M75/1000/1000</f>
        <v>0</v>
      </c>
      <c r="M76" s="17">
        <f>'Datos Actividad'!$L72*'FE Sectorial'!$H75*'FE Sectorial'!N75/1000/1000</f>
        <v>0</v>
      </c>
      <c r="N76" s="17">
        <f>'Datos Actividad'!$L72*'FE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109820.97264996001</v>
      </c>
      <c r="I77" s="15">
        <f t="shared" si="18"/>
        <v>1.9704022800000001</v>
      </c>
      <c r="J77" s="15">
        <f t="shared" si="18"/>
        <v>0.19756912800000001</v>
      </c>
      <c r="K77" s="15">
        <f t="shared" si="18"/>
        <v>295.11959200000001</v>
      </c>
      <c r="L77" s="15">
        <f t="shared" si="18"/>
        <v>58.971028399999994</v>
      </c>
      <c r="M77" s="15">
        <f t="shared" si="18"/>
        <v>9.8343813999999998</v>
      </c>
      <c r="N77" s="15">
        <f t="shared" si="18"/>
        <v>6.3960000000000003E-2</v>
      </c>
      <c r="O77" s="15">
        <f t="shared" si="18"/>
        <v>109923.59752752002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Actividad'!$L74*'FE Sectorial'!$H77*'FE Sectorial'!I77*'FE Sectorial'!P77/1000</f>
        <v>109691.64073296</v>
      </c>
      <c r="I78" s="17">
        <f>'Datos Actividad'!$L74*'FE Sectorial'!$H77*'FE Sectorial'!J77/1000/1000</f>
        <v>1.96511328</v>
      </c>
      <c r="J78" s="17">
        <f>'Datos Actividad'!$L74*'FE Sectorial'!$H77*'FE Sectorial'!K77/1000/1000</f>
        <v>0.19651132800000001</v>
      </c>
      <c r="K78" s="17">
        <f>'Datos Actividad'!$L74*'FE Sectorial'!$H77*'FE Sectorial'!L77/1000/1000</f>
        <v>294.76699200000002</v>
      </c>
      <c r="L78" s="17">
        <f>'Datos Actividad'!$L74*'FE Sectorial'!$H77*'FE Sectorial'!M77/1000/1000</f>
        <v>58.953398399999998</v>
      </c>
      <c r="M78" s="17">
        <f>'Datos Actividad'!$L74*'FE Sectorial'!$H77*'FE Sectorial'!N77/1000/1000</f>
        <v>9.8255663999999996</v>
      </c>
      <c r="N78" s="17">
        <f>'Datos Actividad'!$L74*'FE Sectorial'!$H77*'FE Sectorial'!O77/1000/1000</f>
        <v>0</v>
      </c>
      <c r="O78" s="87">
        <f>IF(D78&lt;400,H78+I78*'Factores generales'!$M$41+J78*'Factores generales'!$N$41,I78*'Factores generales'!$M$41+J78*'Factores generales'!$N$41)</f>
        <v>109793.82662352001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Actividad'!$L75*'FE Sectorial'!$H78*'FE Sectorial'!I78*'FE Sectorial'!P78/1000</f>
        <v>129.33191699999998</v>
      </c>
      <c r="I79" s="17">
        <f>'Datos Actividad'!$L75*'FE Sectorial'!$H78*'FE Sectorial'!J78/1000/1000</f>
        <v>5.2889999999999994E-3</v>
      </c>
      <c r="J79" s="17">
        <f>'Datos Actividad'!$L75*'FE Sectorial'!$H78*'FE Sectorial'!K78/1000/1000</f>
        <v>1.0577999999999998E-3</v>
      </c>
      <c r="K79" s="17">
        <f>'Datos Actividad'!$L75*'FE Sectorial'!$H78*'FE Sectorial'!L78/1000/1000</f>
        <v>0.35260000000000002</v>
      </c>
      <c r="L79" s="17">
        <f>'Datos Actividad'!$L75*'FE Sectorial'!$H78*'FE Sectorial'!M78/1000/1000</f>
        <v>1.763E-2</v>
      </c>
      <c r="M79" s="17">
        <f>'Datos Actividad'!$L75*'FE Sectorial'!$H78*'FE Sectorial'!N78/1000/1000</f>
        <v>8.8149999999999999E-3</v>
      </c>
      <c r="N79" s="17">
        <f>'Datos Actividad'!$L75*'FE Sectorial'!$H78*'FE Sectorial'!O78/1000/1000</f>
        <v>6.3960000000000003E-2</v>
      </c>
      <c r="O79" s="87">
        <f>IF(D79&lt;400,H79+I79*'Factores generales'!$M$41+J79*'Factores generales'!$N$41,I79*'Factores generales'!$M$41+J79*'Factores generales'!$N$41)</f>
        <v>129.77090399999997</v>
      </c>
    </row>
    <row r="80" spans="1:15" outlineLevel="1" x14ac:dyDescent="0.25">
      <c r="B80" s="1" t="s">
        <v>37</v>
      </c>
      <c r="G80" s="1"/>
      <c r="H80" s="15">
        <f>SUM(H81:H83)</f>
        <v>57658.426539120002</v>
      </c>
      <c r="I80" s="15">
        <f>SUM(I81:I85)</f>
        <v>231.9871354475805</v>
      </c>
      <c r="J80" s="15">
        <f t="shared" ref="J80:O80" si="19">SUM(J81:J85)</f>
        <v>30.897186587677393</v>
      </c>
      <c r="K80" s="15">
        <f t="shared" si="19"/>
        <v>924.78892829193489</v>
      </c>
      <c r="L80" s="15">
        <f t="shared" si="19"/>
        <v>20528.381296477397</v>
      </c>
      <c r="M80" s="15">
        <f t="shared" si="19"/>
        <v>390.08837294596742</v>
      </c>
      <c r="N80" s="15">
        <f t="shared" si="19"/>
        <v>1320.0640000000001</v>
      </c>
      <c r="O80" s="15">
        <f t="shared" si="19"/>
        <v>72108.284225699186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Actividad'!$L77*'FE Sectorial'!$H80*'FE Sectorial'!I80*'FE Sectorial'!P80/1000</f>
        <v>57658.426539120002</v>
      </c>
      <c r="I81" s="17">
        <f>'Datos Actividad'!$L77*'FE Sectorial'!$H80*'FE Sectorial'!J80/1000/1000</f>
        <v>1.03294416</v>
      </c>
      <c r="J81" s="17">
        <f>'Datos Actividad'!$L77*'FE Sectorial'!$H80*'FE Sectorial'!K80/1000/1000</f>
        <v>0.10329441600000001</v>
      </c>
      <c r="K81" s="17">
        <f>'Datos Actividad'!$L77*'FE Sectorial'!$H80*'FE Sectorial'!L80/1000/1000</f>
        <v>154.94162400000002</v>
      </c>
      <c r="L81" s="17">
        <f>'Datos Actividad'!$L77*'FE Sectorial'!$H80*'FE Sectorial'!M80/1000/1000</f>
        <v>30.988324800000001</v>
      </c>
      <c r="M81" s="17">
        <f>'Datos Actividad'!$L77*'FE Sectorial'!$H80*'FE Sectorial'!N80/1000/1000</f>
        <v>5.1647208000000004</v>
      </c>
      <c r="N81" s="17">
        <f>'Datos Actividad'!$L77*'FE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57712.139635440006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Actividad'!$L78*'FE Sectorial'!$H81*'FE Sectorial'!I81*'FE Sectorial'!P81/1000</f>
        <v>0</v>
      </c>
      <c r="I82" s="17">
        <f>'Datos Actividad'!$L78*'FE Sectorial'!$H81*'FE Sectorial'!J81/1000/1000</f>
        <v>0</v>
      </c>
      <c r="J82" s="17">
        <f>'Datos Actividad'!$L78*'FE Sectorial'!$H81*'FE Sectorial'!K81/1000/1000</f>
        <v>0</v>
      </c>
      <c r="K82" s="17">
        <f>'Datos Actividad'!$L78*'FE Sectorial'!$H81*'FE Sectorial'!L81/1000/1000</f>
        <v>0</v>
      </c>
      <c r="L82" s="17">
        <f>'Datos Actividad'!$L78*'FE Sectorial'!$H81*'FE Sectorial'!M81/1000/1000</f>
        <v>0</v>
      </c>
      <c r="M82" s="17">
        <f>'Datos Actividad'!$L78*'FE Sectorial'!$H81*'FE Sectorial'!N81/1000/1000</f>
        <v>0</v>
      </c>
      <c r="N82" s="17">
        <f>'Datos Actividad'!$L78*'FE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Actividad'!$L79*'FE Sectorial'!$H82*'FE Sectorial'!I82*'FE Sectorial'!P82/1000</f>
        <v>0</v>
      </c>
      <c r="I83" s="95">
        <f>'Datos Actividad'!$L79*'FE Sectorial'!$H82*'FE Sectorial'!J82/1000/1000</f>
        <v>0</v>
      </c>
      <c r="J83" s="17">
        <f>'Datos Actividad'!$L79*'FE Sectorial'!$H82*'FE Sectorial'!K82/1000/1000</f>
        <v>0</v>
      </c>
      <c r="K83" s="17">
        <f>'Datos Actividad'!$L79*'FE Sectorial'!$H82*'FE Sectorial'!L82/1000/1000</f>
        <v>0</v>
      </c>
      <c r="L83" s="17">
        <f>'Datos Actividad'!$L79*'FE Sectorial'!$H82*'FE Sectorial'!M82/1000/1000</f>
        <v>0</v>
      </c>
      <c r="M83" s="17">
        <f>'Datos Actividad'!$L79*'FE Sectorial'!$H82*'FE Sectorial'!N82/1000/1000</f>
        <v>0</v>
      </c>
      <c r="N83" s="17">
        <f>'Datos Actividad'!$L79*'FE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Actividad'!$L80*'FE Sectorial'!$H83*'FE Sectorial'!I83*'FE Sectorial'!P83/1000</f>
        <v>501645.44102399994</v>
      </c>
      <c r="I84" s="95">
        <f>'Datos Actividad'!$L80*'FE Sectorial'!$H83*'FE Sectorial'!J83/1000/1000</f>
        <v>154.44748800000002</v>
      </c>
      <c r="J84" s="17">
        <f>'Datos Actividad'!$L80*'FE Sectorial'!$H83*'FE Sectorial'!K83/1000/1000</f>
        <v>20.592998399999995</v>
      </c>
      <c r="K84" s="17">
        <f>'Datos Actividad'!$L80*'FE Sectorial'!$H83*'FE Sectorial'!L83/1000/1000</f>
        <v>514.82495999999992</v>
      </c>
      <c r="L84" s="17">
        <f>'Datos Actividad'!$L80*'FE Sectorial'!$H83*'FE Sectorial'!M83/1000/1000</f>
        <v>10296.499199999998</v>
      </c>
      <c r="M84" s="17">
        <f>'Datos Actividad'!$L80*'FE Sectorial'!$H83*'FE Sectorial'!N83/1000/1000</f>
        <v>257.41247999999996</v>
      </c>
      <c r="N84" s="17">
        <f>'Datos Actividad'!$L80*'FE Sectorial'!$H83*'FE Sectorial'!O83/1000/1000</f>
        <v>1320.0640000000001</v>
      </c>
      <c r="O84" s="87">
        <f>IF(D84&lt;400,H84+I84*'Factores generales'!$M$41+J84*'Factores generales'!$N$41,I84*'Factores generales'!$M$41+J84*'Factores generales'!$N$41)</f>
        <v>9627.2267519999987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Actividad'!$L81*'FE Sectorial'!$H84*'FE Sectorial'!I84*'FE Sectorial'!P84/1000</f>
        <v>221869.43953398336</v>
      </c>
      <c r="I85" s="95">
        <f>'Datos Actividad'!$L81*'FE Sectorial'!$H84*'FE Sectorial'!J84/1000/1000</f>
        <v>76.506703287580464</v>
      </c>
      <c r="J85" s="17">
        <f>'Datos Actividad'!$L81*'FE Sectorial'!$H84*'FE Sectorial'!K84/1000/1000</f>
        <v>10.200893771677396</v>
      </c>
      <c r="K85" s="17">
        <f>'Datos Actividad'!$L81*'FE Sectorial'!$H84*'FE Sectorial'!L84/1000/1000</f>
        <v>255.0223442919349</v>
      </c>
      <c r="L85" s="17">
        <f>'Datos Actividad'!$L81*'FE Sectorial'!$H84*'FE Sectorial'!M84/1000/1000</f>
        <v>10200.893771677396</v>
      </c>
      <c r="M85" s="17">
        <f>'Datos Actividad'!$L81*'FE Sectorial'!$H84*'FE Sectorial'!N84/1000/1000</f>
        <v>127.51117214596745</v>
      </c>
      <c r="N85" s="17">
        <f>'Datos Actividad'!$L81*'FE Sectorial'!$H84*'FE Sectorial'!O84/1000/1000</f>
        <v>0</v>
      </c>
      <c r="O85" s="87">
        <f>IF(D85&lt;400,H85+I85*'Factores generales'!$M$41+J85*'Factores generales'!$N$41,I85*'Factores generales'!$M$41+J85*'Factores generales'!$N$41)</f>
        <v>4768.9178382591826</v>
      </c>
    </row>
    <row r="86" spans="2:15" outlineLevel="1" x14ac:dyDescent="0.25">
      <c r="B86" s="1" t="s">
        <v>38</v>
      </c>
      <c r="G86" s="1"/>
      <c r="H86" s="15">
        <f>H87+H88</f>
        <v>274963.79774556006</v>
      </c>
      <c r="I86" s="15">
        <f>I87+I88+I89</f>
        <v>4.9266700800000001</v>
      </c>
      <c r="J86" s="15">
        <f t="shared" ref="J86:O86" si="20">J87+J88+J89</f>
        <v>0.49279600800000001</v>
      </c>
      <c r="K86" s="15">
        <f t="shared" si="20"/>
        <v>738.893012</v>
      </c>
      <c r="L86" s="15">
        <f t="shared" si="20"/>
        <v>147.76570239999998</v>
      </c>
      <c r="M86" s="15">
        <f t="shared" si="20"/>
        <v>24.629050400000001</v>
      </c>
      <c r="N86" s="15">
        <f t="shared" si="20"/>
        <v>1.5599999999999999E-2</v>
      </c>
      <c r="O86" s="15">
        <f t="shared" si="20"/>
        <v>275220.02457971999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Actividad'!$L83*'FE Sectorial'!$H86*'FE Sectorial'!I86*'FE Sectorial'!P86/1000</f>
        <v>274932.25337556005</v>
      </c>
      <c r="I87" s="17">
        <f>'Datos Actividad'!$L83*'FE Sectorial'!$H86*'FE Sectorial'!J86/1000/1000</f>
        <v>4.92538008</v>
      </c>
      <c r="J87" s="17">
        <f>'Datos Actividad'!$L83*'FE Sectorial'!$H86*'FE Sectorial'!K86/1000/1000</f>
        <v>0.49253800800000003</v>
      </c>
      <c r="K87" s="17">
        <f>'Datos Actividad'!$L83*'FE Sectorial'!$H86*'FE Sectorial'!L86/1000/1000</f>
        <v>738.80701199999999</v>
      </c>
      <c r="L87" s="17">
        <f>'Datos Actividad'!$L83*'FE Sectorial'!$H86*'FE Sectorial'!M86/1000/1000</f>
        <v>147.76140239999998</v>
      </c>
      <c r="M87" s="17">
        <f>'Datos Actividad'!$L83*'FE Sectorial'!$H86*'FE Sectorial'!N86/1000/1000</f>
        <v>24.6269004</v>
      </c>
      <c r="N87" s="17">
        <f>'Datos Actividad'!$L83*'FE Sectorial'!$H86*'FE Sectorial'!O86/1000/1000</f>
        <v>0</v>
      </c>
      <c r="O87" s="87">
        <f>IF(D87&lt;400,H87+I87*'Factores generales'!$M$41+J87*'Factores generales'!$N$41,I87*'Factores generales'!$M$41+J87*'Factores generales'!$N$41)</f>
        <v>275188.37313972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Actividad'!$L84*'FE Sectorial'!$H87*'FE Sectorial'!I87*'FE Sectorial'!P87/1000</f>
        <v>31.544369999999994</v>
      </c>
      <c r="I88" s="17">
        <f>'Datos Actividad'!$L84*'FE Sectorial'!$H87*'FE Sectorial'!J87/1000/1000</f>
        <v>1.2900000000000001E-3</v>
      </c>
      <c r="J88" s="17">
        <f>'Datos Actividad'!$L84*'FE Sectorial'!$H87*'FE Sectorial'!K87/1000/1000</f>
        <v>2.5799999999999998E-4</v>
      </c>
      <c r="K88" s="17">
        <f>'Datos Actividad'!$L84*'FE Sectorial'!$H87*'FE Sectorial'!L87/1000/1000</f>
        <v>8.5999999999999993E-2</v>
      </c>
      <c r="L88" s="17">
        <f>'Datos Actividad'!$L84*'FE Sectorial'!$H87*'FE Sectorial'!M87/1000/1000</f>
        <v>4.3E-3</v>
      </c>
      <c r="M88" s="17">
        <f>'Datos Actividad'!$L84*'FE Sectorial'!$H87*'FE Sectorial'!N87/1000/1000</f>
        <v>2.15E-3</v>
      </c>
      <c r="N88" s="17">
        <f>'Datos Actividad'!$L84*'FE Sectorial'!$H87*'FE Sectorial'!O87/1000/1000</f>
        <v>1.5599999999999999E-2</v>
      </c>
      <c r="O88" s="87">
        <f>IF(D88&lt;400,H88+I88*'Factores generales'!$M$41+J88*'Factores generales'!$N$41,I88*'Factores generales'!$M$41+J88*'Factores generales'!$N$41)</f>
        <v>31.651439999999994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Actividad'!$L85*'FE Sectorial'!$H88*'FE Sectorial'!I88*'FE Sectorial'!P88/1000</f>
        <v>0</v>
      </c>
      <c r="I89" s="95">
        <f>'Datos Actividad'!$L85*'FE Sectorial'!$H88*'FE Sectorial'!J88/1000/1000</f>
        <v>0</v>
      </c>
      <c r="J89" s="17">
        <f>'Datos Actividad'!$L85*'FE Sectorial'!$H88*'FE Sectorial'!K88/1000/1000</f>
        <v>0</v>
      </c>
      <c r="K89" s="17">
        <f>'Datos Actividad'!$L85*'FE Sectorial'!$H88*'FE Sectorial'!L88/1000/1000</f>
        <v>0</v>
      </c>
      <c r="L89" s="17">
        <f>'Datos Actividad'!$L85*'FE Sectorial'!$H88*'FE Sectorial'!M88/1000/1000</f>
        <v>0</v>
      </c>
      <c r="M89" s="17">
        <f>'Datos Actividad'!$L85*'FE Sectorial'!$H88*'FE Sectorial'!N88/1000/1000</f>
        <v>0</v>
      </c>
      <c r="N89" s="17">
        <f>'Datos Actividad'!$L85*'FE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4994918.9356770013</v>
      </c>
      <c r="I90" s="15">
        <f t="shared" si="21"/>
        <v>91.140297000000018</v>
      </c>
      <c r="J90" s="15">
        <f t="shared" si="21"/>
        <v>9.4102434000000024</v>
      </c>
      <c r="K90" s="15">
        <f t="shared" si="21"/>
        <v>13424.199800000002</v>
      </c>
      <c r="L90" s="15">
        <f t="shared" si="21"/>
        <v>2655.2185899999999</v>
      </c>
      <c r="M90" s="15">
        <f t="shared" si="21"/>
        <v>445.82769500000006</v>
      </c>
      <c r="N90" s="15">
        <f t="shared" si="21"/>
        <v>56.861720000000005</v>
      </c>
      <c r="O90" s="15">
        <f t="shared" si="21"/>
        <v>4999750.057368001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Actividad'!$L87*'FE Sectorial'!$H90*'FE Sectorial'!I90*'FE Sectorial'!P90/1000</f>
        <v>4922060.8021200011</v>
      </c>
      <c r="I91" s="17">
        <f>'Datos Actividad'!$L87*'FE Sectorial'!$H90*'FE Sectorial'!J90/1000/1000</f>
        <v>88.17816000000002</v>
      </c>
      <c r="J91" s="17">
        <f>'Datos Actividad'!$L87*'FE Sectorial'!$H90*'FE Sectorial'!K90/1000/1000</f>
        <v>8.8178160000000023</v>
      </c>
      <c r="K91" s="17">
        <f>'Datos Actividad'!$L87*'FE Sectorial'!$H90*'FE Sectorial'!L90/1000/1000</f>
        <v>13226.724000000002</v>
      </c>
      <c r="L91" s="17">
        <f>'Datos Actividad'!$L87*'FE Sectorial'!$H90*'FE Sectorial'!M90/1000/1000</f>
        <v>2645.3448000000003</v>
      </c>
      <c r="M91" s="17">
        <f>'Datos Actividad'!$L87*'FE Sectorial'!$H90*'FE Sectorial'!N90/1000/1000</f>
        <v>440.89080000000007</v>
      </c>
      <c r="N91" s="17">
        <f>'Datos Actividad'!$L87*'FE Sectorial'!$H90*'FE Sectorial'!O90/1000/1000</f>
        <v>0</v>
      </c>
      <c r="O91" s="87">
        <f>IF(D91&lt;400,H91+I91*'Factores generales'!$M$41+J91*'Factores generales'!$N$41,I91*'Factores generales'!$M$41+J91*'Factores generales'!$N$41)</f>
        <v>4926646.0664400011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Actividad'!$L88*'FE Sectorial'!$H91*'FE Sectorial'!I91*'FE Sectorial'!P91/1000</f>
        <v>62890.010469000001</v>
      </c>
      <c r="I92" s="17">
        <f>'Datos Actividad'!$L88*'FE Sectorial'!$H91*'FE Sectorial'!J91/1000/1000</f>
        <v>2.5718730000000005</v>
      </c>
      <c r="J92" s="17">
        <f>'Datos Actividad'!$L88*'FE Sectorial'!$H91*'FE Sectorial'!K91/1000/1000</f>
        <v>0.51437460000000002</v>
      </c>
      <c r="K92" s="17">
        <f>'Datos Actividad'!$L88*'FE Sectorial'!$H91*'FE Sectorial'!L91/1000/1000</f>
        <v>171.45820000000003</v>
      </c>
      <c r="L92" s="17">
        <f>'Datos Actividad'!$L88*'FE Sectorial'!$H91*'FE Sectorial'!M91/1000/1000</f>
        <v>8.572910000000002</v>
      </c>
      <c r="M92" s="17">
        <f>'Datos Actividad'!$L88*'FE Sectorial'!$H91*'FE Sectorial'!N91/1000/1000</f>
        <v>4.286455000000001</v>
      </c>
      <c r="N92" s="17">
        <f>'Datos Actividad'!$L88*'FE Sectorial'!$H91*'FE Sectorial'!O91/1000/1000</f>
        <v>31.101720000000004</v>
      </c>
      <c r="O92" s="87">
        <f>IF(D92&lt;400,H92+I92*'Factores generales'!$M$41+J92*'Factores generales'!$N$41,I92*'Factores generales'!$M$41+J92*'Factores generales'!$N$41)</f>
        <v>63103.475928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Actividad'!$L89*'FE Sectorial'!$H92*'FE Sectorial'!I92*'FE Sectorial'!P92/1000</f>
        <v>9968.1230880000021</v>
      </c>
      <c r="I93" s="17">
        <f>'Datos Actividad'!$L89*'FE Sectorial'!$H92*'FE Sectorial'!J92/1000/1000</f>
        <v>0.390264</v>
      </c>
      <c r="J93" s="17">
        <f>'Datos Actividad'!$L89*'FE Sectorial'!$H92*'FE Sectorial'!K92/1000/1000</f>
        <v>7.8052800000000006E-2</v>
      </c>
      <c r="K93" s="17">
        <f>'Datos Actividad'!$L89*'FE Sectorial'!$H92*'FE Sectorial'!L92/1000/1000</f>
        <v>26.017599999999998</v>
      </c>
      <c r="L93" s="17">
        <f>'Datos Actividad'!$L89*'FE Sectorial'!$H92*'FE Sectorial'!M92/1000/1000</f>
        <v>1.30088</v>
      </c>
      <c r="M93" s="17">
        <f>'Datos Actividad'!$L89*'FE Sectorial'!$H92*'FE Sectorial'!N92/1000/1000</f>
        <v>0.65044000000000002</v>
      </c>
      <c r="N93" s="17">
        <f>'Datos Actividad'!$L89*'FE Sectorial'!$H92*'FE Sectorial'!O92/1000/1000</f>
        <v>25.76</v>
      </c>
      <c r="O93" s="87">
        <f>IF(D93&lt;400,H93+I93*'Factores generales'!$M$41+J93*'Factores generales'!$N$41,I93*'Factores generales'!$M$41+J93*'Factores generales'!$N$41)</f>
        <v>10000.515000000003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2007264.5019682995</v>
      </c>
      <c r="I94" s="15">
        <f t="shared" ref="I94:O94" si="22">SUM(I95:I100)</f>
        <v>64.371398935124944</v>
      </c>
      <c r="J94" s="15">
        <f t="shared" si="22"/>
        <v>11.719261303006721</v>
      </c>
      <c r="K94" s="15">
        <f t="shared" si="22"/>
        <v>5253.941999023551</v>
      </c>
      <c r="L94" s="15">
        <f t="shared" si="22"/>
        <v>522.57625885528739</v>
      </c>
      <c r="M94" s="15">
        <f t="shared" si="22"/>
        <v>145.78628102581709</v>
      </c>
      <c r="N94" s="15">
        <f t="shared" si="22"/>
        <v>1743.4982984688806</v>
      </c>
      <c r="O94" s="15">
        <f t="shared" si="22"/>
        <v>2012249.2723498691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Actividad'!$L91*'FE Sectorial'!$H94*'FE Sectorial'!I94*'FE Sectorial'!P94/1000</f>
        <v>0</v>
      </c>
      <c r="I95" s="17">
        <f>'Datos Actividad'!$L91*'FE Sectorial'!$H94*'FE Sectorial'!J94/1000/1000</f>
        <v>0</v>
      </c>
      <c r="J95" s="17">
        <f>'Datos Actividad'!$L91*'FE Sectorial'!$H94*'FE Sectorial'!K94/1000/1000</f>
        <v>0</v>
      </c>
      <c r="K95" s="17">
        <f>'Datos Actividad'!$L91*'FE Sectorial'!$H94*'FE Sectorial'!L94/1000/1000</f>
        <v>0</v>
      </c>
      <c r="L95" s="17">
        <f>'Datos Actividad'!$L91*'FE Sectorial'!$H94*'FE Sectorial'!M94/1000/1000</f>
        <v>0</v>
      </c>
      <c r="M95" s="17">
        <f>'Datos Actividad'!$L91*'FE Sectorial'!$H94*'FE Sectorial'!N94/1000/1000</f>
        <v>0</v>
      </c>
      <c r="N95" s="17">
        <f>'Datos Actividad'!$L91*'FE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Actividad'!$L92*'FE Sectorial'!$H95*'FE Sectorial'!I95*'FE Sectorial'!P95/1000</f>
        <v>721528.4967813706</v>
      </c>
      <c r="I96" s="17">
        <f>'Datos Actividad'!$L92*'FE Sectorial'!$H95*'FE Sectorial'!J95/1000/1000</f>
        <v>11.550184840182661</v>
      </c>
      <c r="J96" s="17">
        <f>'Datos Actividad'!$L92*'FE Sectorial'!$H95*'FE Sectorial'!K95/1000/1000</f>
        <v>1.155018484018266</v>
      </c>
      <c r="K96" s="17">
        <f>'Datos Actividad'!$L92*'FE Sectorial'!$H95*'FE Sectorial'!L95/1000/1000</f>
        <v>1732.527726027399</v>
      </c>
      <c r="L96" s="17">
        <f>'Datos Actividad'!$L92*'FE Sectorial'!$H95*'FE Sectorial'!M95/1000/1000</f>
        <v>346.50554520547979</v>
      </c>
      <c r="M96" s="17">
        <f>'Datos Actividad'!$L92*'FE Sectorial'!$H95*'FE Sectorial'!N95/1000/1000</f>
        <v>57.750924200913303</v>
      </c>
      <c r="N96" s="17">
        <f>'Datos Actividad'!$L92*'FE Sectorial'!$H95*'FE Sectorial'!O95/1000/1000</f>
        <v>48.837990867579968</v>
      </c>
      <c r="O96" s="87">
        <f>IF(D96&lt;400,H96+I96*'Factores generales'!$M$41+J96*'Factores generales'!$N$41,I96*'Factores generales'!$M$41+J96*'Factores generales'!$N$41)</f>
        <v>722129.10639306006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Actividad'!$L93*'FE Sectorial'!$H96*'FE Sectorial'!I96*'FE Sectorial'!P96/1000</f>
        <v>231325.37999999899</v>
      </c>
      <c r="I97" s="17">
        <f>'Datos Actividad'!$L93*'FE Sectorial'!$H96*'FE Sectorial'!J96/1000/1000</f>
        <v>9.4599999999999582</v>
      </c>
      <c r="J97" s="17">
        <f>'Datos Actividad'!$L93*'FE Sectorial'!$H96*'FE Sectorial'!K96/1000/1000</f>
        <v>1.8919999999999919</v>
      </c>
      <c r="K97" s="17">
        <f>'Datos Actividad'!$L93*'FE Sectorial'!$H96*'FE Sectorial'!L96/1000/1000</f>
        <v>630.6666666666639</v>
      </c>
      <c r="L97" s="17">
        <f>'Datos Actividad'!$L93*'FE Sectorial'!$H96*'FE Sectorial'!M96/1000/1000</f>
        <v>31.5333333333332</v>
      </c>
      <c r="M97" s="17">
        <f>'Datos Actividad'!$L93*'FE Sectorial'!$H96*'FE Sectorial'!N96/1000/1000</f>
        <v>15.7666666666666</v>
      </c>
      <c r="N97" s="17">
        <f>'Datos Actividad'!$L93*'FE Sectorial'!$H96*'FE Sectorial'!O96/1000/1000</f>
        <v>114.39999999999952</v>
      </c>
      <c r="O97" s="87">
        <f>IF(D97&lt;400,H97+I97*'Factores generales'!$M$41+J97*'Factores generales'!$N$41,I97*'Factores generales'!$M$41+J97*'Factores generales'!$N$41)</f>
        <v>232110.55999999898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Actividad'!$L94*'FE Sectorial'!$H97*'FE Sectorial'!I97*'FE Sectorial'!P97/1000</f>
        <v>599926.63603040797</v>
      </c>
      <c r="I98" s="17">
        <f>'Datos Actividad'!$L94*'FE Sectorial'!$H97*'FE Sectorial'!J97/1000/1000</f>
        <v>23.487848877551016</v>
      </c>
      <c r="J98" s="17">
        <f>'Datos Actividad'!$L94*'FE Sectorial'!$H97*'FE Sectorial'!K97/1000/1000</f>
        <v>4.6975697755102024</v>
      </c>
      <c r="K98" s="17">
        <f>'Datos Actividad'!$L94*'FE Sectorial'!$H97*'FE Sectorial'!L97/1000/1000</f>
        <v>1565.8565918367342</v>
      </c>
      <c r="L98" s="17">
        <f>'Datos Actividad'!$L94*'FE Sectorial'!$H97*'FE Sectorial'!M97/1000/1000</f>
        <v>78.292829591836721</v>
      </c>
      <c r="M98" s="17">
        <f>'Datos Actividad'!$L94*'FE Sectorial'!$H97*'FE Sectorial'!N97/1000/1000</f>
        <v>39.146414795918361</v>
      </c>
      <c r="N98" s="17">
        <f>'Datos Actividad'!$L94*'FE Sectorial'!$H97*'FE Sectorial'!O97/1000/1000</f>
        <v>1550.3530612244895</v>
      </c>
      <c r="O98" s="87">
        <f>IF(D98&lt;400,H98+I98*'Factores generales'!$M$41+J98*'Factores generales'!$N$41,I98*'Factores generales'!$M$41+J98*'Factores generales'!$N$41)</f>
        <v>601876.12748724478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Actividad'!$L95*'FE Sectorial'!$H98*'FE Sectorial'!I98*'FE Sectorial'!P98/1000</f>
        <v>454483.98915652174</v>
      </c>
      <c r="I99" s="17">
        <f>'Datos Actividad'!$L95*'FE Sectorial'!$H98*'FE Sectorial'!J98/1000/1000</f>
        <v>19.873365217391303</v>
      </c>
      <c r="J99" s="17">
        <f>'Datos Actividad'!$L95*'FE Sectorial'!$H98*'FE Sectorial'!K98/1000/1000</f>
        <v>3.9746730434782607</v>
      </c>
      <c r="K99" s="17">
        <f>'Datos Actividad'!$L95*'FE Sectorial'!$H98*'FE Sectorial'!L98/1000/1000</f>
        <v>1324.8910144927536</v>
      </c>
      <c r="L99" s="17">
        <f>'Datos Actividad'!$L95*'FE Sectorial'!$H98*'FE Sectorial'!M98/1000/1000</f>
        <v>66.244550724637676</v>
      </c>
      <c r="M99" s="17">
        <f>'Datos Actividad'!$L95*'FE Sectorial'!$H98*'FE Sectorial'!N98/1000/1000</f>
        <v>33.122275362318838</v>
      </c>
      <c r="N99" s="17">
        <f>'Datos Actividad'!$L95*'FE Sectorial'!$H98*'FE Sectorial'!O98/1000/1000</f>
        <v>29.907246376811596</v>
      </c>
      <c r="O99" s="87">
        <f>IF(D99&lt;400,H99+I99*'Factores generales'!$M$41+J99*'Factores generales'!$N$41,I99*'Factores generales'!$M$41+J99*'Factores generales'!$N$41)</f>
        <v>456133.47846956522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Actividad'!$L96*'FE Sectorial'!$H99*'FE Sectorial'!I99*'FE Sectorial'!P99/1000</f>
        <v>0</v>
      </c>
      <c r="I100" s="17">
        <f>'Datos Actividad'!$L96*'FE Sectorial'!$H99*'FE Sectorial'!J99/1000/1000</f>
        <v>0</v>
      </c>
      <c r="J100" s="17">
        <f>'Datos Actividad'!$L96*'FE Sectorial'!$H99*'FE Sectorial'!K99/1000/1000</f>
        <v>0</v>
      </c>
      <c r="K100" s="17">
        <f>'Datos Actividad'!$L96*'FE Sectorial'!$H99*'FE Sectorial'!L99/1000/1000</f>
        <v>0</v>
      </c>
      <c r="L100" s="17">
        <f>'Datos Actividad'!$L96*'FE Sectorial'!$H99*'FE Sectorial'!M99/1000/1000</f>
        <v>0</v>
      </c>
      <c r="M100" s="17">
        <f>'Datos Actividad'!$L96*'FE Sectorial'!$H99*'FE Sectorial'!N99/1000/1000</f>
        <v>0</v>
      </c>
      <c r="N100" s="17">
        <f>'Datos Actividad'!$L96*'FE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41184549.441281855</v>
      </c>
      <c r="I101" s="129">
        <f t="shared" si="23"/>
        <v>14204.081133219504</v>
      </c>
      <c r="J101" s="129">
        <f t="shared" si="23"/>
        <v>2639.0084610435738</v>
      </c>
      <c r="K101" s="129">
        <f t="shared" si="23"/>
        <v>402069.61355815129</v>
      </c>
      <c r="L101" s="129">
        <f t="shared" si="23"/>
        <v>1399347.6369584235</v>
      </c>
      <c r="M101" s="129">
        <f t="shared" si="23"/>
        <v>259374.15374109172</v>
      </c>
      <c r="N101" s="129">
        <f t="shared" si="23"/>
        <v>12582.787792276578</v>
      </c>
      <c r="O101" s="129">
        <f t="shared" si="23"/>
        <v>42300927.768002979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1042205.4978875139</v>
      </c>
      <c r="I102" s="134">
        <f t="shared" ref="I102:O102" si="24">I105</f>
        <v>7.3617680150280016</v>
      </c>
      <c r="J102" s="134">
        <f t="shared" si="24"/>
        <v>29.447072060112006</v>
      </c>
      <c r="K102" s="134">
        <f t="shared" si="24"/>
        <v>3680.8840075140006</v>
      </c>
      <c r="L102" s="134">
        <f t="shared" si="24"/>
        <v>1472.3536030056002</v>
      </c>
      <c r="M102" s="134">
        <f t="shared" si="24"/>
        <v>736.17680150280012</v>
      </c>
      <c r="N102" s="134">
        <f t="shared" si="24"/>
        <v>667.73406032000003</v>
      </c>
      <c r="O102" s="134">
        <f t="shared" si="24"/>
        <v>1051488.6873544643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2124182.7694151066</v>
      </c>
      <c r="I103" s="15">
        <f t="shared" ref="I103:O103" si="25">I104</f>
        <v>15.004469657520001</v>
      </c>
      <c r="J103" s="15">
        <f t="shared" si="25"/>
        <v>60.017878630080006</v>
      </c>
      <c r="K103" s="15">
        <f t="shared" si="25"/>
        <v>7502.2348287600007</v>
      </c>
      <c r="L103" s="15">
        <f t="shared" si="25"/>
        <v>3000.8939315040002</v>
      </c>
      <c r="M103" s="15">
        <f t="shared" si="25"/>
        <v>1500.4469657520001</v>
      </c>
      <c r="N103" s="15">
        <f t="shared" si="25"/>
        <v>1360.9496288000003</v>
      </c>
      <c r="O103" s="15">
        <f t="shared" si="25"/>
        <v>2143103.4056532392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Actividad'!$L100*'FE Sectorial'!$H103*'FE Sectorial'!I103*'FE Sectorial'!P103/1000</f>
        <v>2124182.7694151066</v>
      </c>
      <c r="I104" s="17">
        <f>'Datos Actividad'!$L100*'FE Sectorial'!$H103*'FE Sectorial'!J103/1000/1000</f>
        <v>15.004469657520001</v>
      </c>
      <c r="J104" s="17">
        <f>'Datos Actividad'!$L100*'FE Sectorial'!$H103*'FE Sectorial'!K103/1000/1000</f>
        <v>60.017878630080006</v>
      </c>
      <c r="K104" s="17">
        <f>'Datos Actividad'!$L100*'FE Sectorial'!$H103*'FE Sectorial'!L103/1000/1000</f>
        <v>7502.2348287600007</v>
      </c>
      <c r="L104" s="17">
        <f>'Datos Actividad'!$L100*'FE Sectorial'!$H103*'FE Sectorial'!M103/1000/1000</f>
        <v>3000.8939315040002</v>
      </c>
      <c r="M104" s="17">
        <f>'Datos Actividad'!$L100*'FE Sectorial'!$H103*'FE Sectorial'!N103/1000/1000</f>
        <v>1500.4469657520001</v>
      </c>
      <c r="N104" s="17">
        <f>'Datos Actividad'!$L100*'FE Sectorial'!$H103*'FE Sectorial'!O103/1000/1000</f>
        <v>1360.9496288000003</v>
      </c>
      <c r="O104" s="87">
        <f>IF(D104&lt;400,H104+I104*'Factores generales'!$M$41+J104*'Factores generales'!$N$41,I104*'Factores generales'!$M$41+J104*'Factores generales'!$N$41)</f>
        <v>2143103.4056532392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1042205.4978875139</v>
      </c>
      <c r="I105" s="15">
        <f t="shared" ref="I105:O105" si="26">I106</f>
        <v>7.3617680150280016</v>
      </c>
      <c r="J105" s="15">
        <f t="shared" si="26"/>
        <v>29.447072060112006</v>
      </c>
      <c r="K105" s="15">
        <f t="shared" si="26"/>
        <v>3680.8840075140006</v>
      </c>
      <c r="L105" s="15">
        <f t="shared" si="26"/>
        <v>1472.3536030056002</v>
      </c>
      <c r="M105" s="15">
        <f t="shared" si="26"/>
        <v>736.17680150280012</v>
      </c>
      <c r="N105" s="15">
        <f t="shared" si="26"/>
        <v>667.73406032000003</v>
      </c>
      <c r="O105" s="15">
        <f t="shared" si="26"/>
        <v>1051488.6873544643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Actividad'!$L102*'FE Sectorial'!$H105*'FE Sectorial'!I105*'FE Sectorial'!P105/1000</f>
        <v>1042205.4978875139</v>
      </c>
      <c r="I106" s="17">
        <f>'Datos Actividad'!$L102*'FE Sectorial'!$H105*'FE Sectorial'!J105/1000/1000</f>
        <v>7.3617680150280016</v>
      </c>
      <c r="J106" s="17">
        <f>'Datos Actividad'!$L102*'FE Sectorial'!$H105*'FE Sectorial'!K105/1000/1000</f>
        <v>29.447072060112006</v>
      </c>
      <c r="K106" s="17">
        <f>'Datos Actividad'!$L102*'FE Sectorial'!$H105*'FE Sectorial'!L105/1000/1000</f>
        <v>3680.8840075140006</v>
      </c>
      <c r="L106" s="17">
        <f>'Datos Actividad'!$L102*'FE Sectorial'!$H105*'FE Sectorial'!M105/1000/1000</f>
        <v>1472.3536030056002</v>
      </c>
      <c r="M106" s="17">
        <f>'Datos Actividad'!$L102*'FE Sectorial'!$H105*'FE Sectorial'!N105/1000/1000</f>
        <v>736.17680150280012</v>
      </c>
      <c r="N106" s="17">
        <f>'Datos Actividad'!$L102*'FE Sectorial'!$H105*'FE Sectorial'!O105/1000/1000</f>
        <v>667.73406032000003</v>
      </c>
      <c r="O106" s="87">
        <f>IF(D106&lt;400,H106+I106*'Factores generales'!$M$41+J106*'Factores generales'!$N$41,I106*'Factores generales'!$M$41+J106*'Factores generales'!$N$41)</f>
        <v>1051488.6873544643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36739670.580069698</v>
      </c>
      <c r="I107" s="134">
        <f t="shared" si="27"/>
        <v>14100.348410250912</v>
      </c>
      <c r="J107" s="134">
        <f t="shared" si="27"/>
        <v>2527.4325843908146</v>
      </c>
      <c r="K107" s="134">
        <f t="shared" si="27"/>
        <v>380307.15972966346</v>
      </c>
      <c r="L107" s="134">
        <f t="shared" si="27"/>
        <v>1389442.1755979441</v>
      </c>
      <c r="M107" s="134">
        <f t="shared" si="27"/>
        <v>256900.23025629413</v>
      </c>
      <c r="N107" s="134">
        <f t="shared" si="27"/>
        <v>11413.695032055661</v>
      </c>
      <c r="O107" s="134">
        <f t="shared" si="27"/>
        <v>37819281.997846119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34338806.849850699</v>
      </c>
      <c r="I108" s="15">
        <f t="shared" ref="I108:O108" si="28">I109+I110+I111+I112+I113</f>
        <v>13972.710785039908</v>
      </c>
      <c r="J108" s="15">
        <f t="shared" si="28"/>
        <v>2399.7949591798097</v>
      </c>
      <c r="K108" s="15">
        <f t="shared" si="28"/>
        <v>354125.08276330354</v>
      </c>
      <c r="L108" s="15">
        <f t="shared" si="28"/>
        <v>1356714.579389994</v>
      </c>
      <c r="M108" s="15">
        <f t="shared" si="28"/>
        <v>250354.71101470414</v>
      </c>
      <c r="N108" s="15">
        <f t="shared" si="28"/>
        <v>10226.368285906779</v>
      </c>
      <c r="O108" s="15">
        <f t="shared" si="28"/>
        <v>35376170.213682279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Actividad'!$L105*'FE Sectorial'!$H108*'FE Sectorial'!I108*'FE Sectorial'!P108/1000</f>
        <v>5860074.5929083601</v>
      </c>
      <c r="I109" s="17">
        <f>'Datos Actividad'!$L105*'FE Sectorial'!$H108*'FE Sectorial'!J108/1000/1000</f>
        <v>9658.3964841600009</v>
      </c>
      <c r="J109" s="17">
        <f>'Datos Actividad'!$L105*'FE Sectorial'!$H108*'FE Sectorial'!K108/1000/1000</f>
        <v>314.94771143999998</v>
      </c>
      <c r="K109" s="17">
        <f>'Datos Actividad'!$L105*'FE Sectorial'!$H108*'FE Sectorial'!L108/1000/1000</f>
        <v>62989.542288000004</v>
      </c>
      <c r="L109" s="17">
        <f>'Datos Actividad'!$L105*'FE Sectorial'!$H108*'FE Sectorial'!M108/1000/1000</f>
        <v>41993.028192000005</v>
      </c>
      <c r="M109" s="17">
        <f>'Datos Actividad'!$L105*'FE Sectorial'!$H108*'FE Sectorial'!N108/1000/1000</f>
        <v>524.91285240000013</v>
      </c>
      <c r="N109" s="17">
        <f>'Datos Actividad'!$L105*'FE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6160534.7096221196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Actividad'!$L106*'FE Sectorial'!$H109*'FE Sectorial'!I109*'FE Sectorial'!P109/1000</f>
        <v>19481258.956072778</v>
      </c>
      <c r="I110" s="17">
        <f>'Datos Actividad'!$L106*'FE Sectorial'!$H109*'FE Sectorial'!J109/1000/1000</f>
        <v>1035.6862815562349</v>
      </c>
      <c r="J110" s="17">
        <f>'Datos Actividad'!$L106*'FE Sectorial'!$H109*'FE Sectorial'!K109/1000/1000</f>
        <v>1035.6862815562349</v>
      </c>
      <c r="K110" s="17">
        <f>'Datos Actividad'!$L106*'FE Sectorial'!$H109*'FE Sectorial'!L109/1000/1000</f>
        <v>212448.46801153538</v>
      </c>
      <c r="L110" s="17">
        <f>'Datos Actividad'!$L106*'FE Sectorial'!$H109*'FE Sectorial'!M109/1000/1000</f>
        <v>265560.58501441922</v>
      </c>
      <c r="M110" s="17">
        <f>'Datos Actividad'!$L106*'FE Sectorial'!$H109*'FE Sectorial'!N109/1000/1000</f>
        <v>53112.117002883846</v>
      </c>
      <c r="N110" s="17">
        <f>'Datos Actividad'!$L106*'FE Sectorial'!$H109*'FE Sectorial'!O109/1000/1000</f>
        <v>9634.2909912207888</v>
      </c>
      <c r="O110" s="87">
        <f>IF(D110&lt;400,H110+I110*'Factores generales'!$M$41+J110*'Factores generales'!$N$41,I110*'Factores generales'!$M$41+J110*'Factores generales'!$N$41)</f>
        <v>19824071.115267891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Actividad'!$L107*'FE Sectorial'!$H110*'FE Sectorial'!I110*'FE Sectorial'!P110/1000</f>
        <v>8997473.3008695655</v>
      </c>
      <c r="I111" s="17">
        <f>'Datos Actividad'!$L107*'FE Sectorial'!$H110*'FE Sectorial'!J110/1000/1000</f>
        <v>3278.6280193236717</v>
      </c>
      <c r="J111" s="17">
        <f>'Datos Actividad'!$L107*'FE Sectorial'!$H110*'FE Sectorial'!K110/1000/1000</f>
        <v>1049.1609661835748</v>
      </c>
      <c r="K111" s="17">
        <f>'Datos Actividad'!$L107*'FE Sectorial'!$H110*'FE Sectorial'!L110/1000/1000</f>
        <v>78687.072463768112</v>
      </c>
      <c r="L111" s="17">
        <f>'Datos Actividad'!$L107*'FE Sectorial'!$H110*'FE Sectorial'!M110/1000/1000</f>
        <v>1049160.9661835749</v>
      </c>
      <c r="M111" s="17">
        <f>'Datos Actividad'!$L107*'FE Sectorial'!$H110*'FE Sectorial'!N110/1000/1000</f>
        <v>196717.68115942029</v>
      </c>
      <c r="N111" s="17">
        <f>'Datos Actividad'!$L107*'FE Sectorial'!$H110*'FE Sectorial'!O110/1000/1000</f>
        <v>592.07729468599041</v>
      </c>
      <c r="O111" s="87">
        <f>IF(D111&lt;400,H111+I111*'Factores generales'!$M$41+J111*'Factores generales'!$N$41,I111*'Factores generales'!$M$41+J111*'Factores generales'!$N$41)</f>
        <v>9391564.3887922708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Actividad'!$L108*'FE Sectorial'!$H111*'FE Sectorial'!I111*'FE Sectorial'!P111/1000</f>
        <v>0</v>
      </c>
      <c r="I112" s="17">
        <f>'Datos Actividad'!$L108*'FE Sectorial'!$H111*'FE Sectorial'!J111/1000/1000</f>
        <v>0</v>
      </c>
      <c r="J112" s="17">
        <f>'Datos Actividad'!$L108*'FE Sectorial'!$H111*'FE Sectorial'!K111/1000/1000</f>
        <v>0</v>
      </c>
      <c r="K112" s="17">
        <f>'Datos Actividad'!$L108*'FE Sectorial'!$H111*'FE Sectorial'!L111/1000/1000</f>
        <v>0</v>
      </c>
      <c r="L112" s="17">
        <f>'Datos Actividad'!$L108*'FE Sectorial'!$H111*'FE Sectorial'!M111/1000/1000</f>
        <v>0</v>
      </c>
      <c r="M112" s="17">
        <f>'Datos Actividad'!$L108*'FE Sectorial'!$H111*'FE Sectorial'!N111/1000/1000</f>
        <v>0</v>
      </c>
      <c r="N112" s="17">
        <f>'Datos Actividad'!$L108*'FE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Actividad'!$L109*'FE Sectorial'!$H112*'FE Sectorial'!I112*'FE Sectorial'!P112/1000</f>
        <v>0</v>
      </c>
      <c r="I113" s="17">
        <f>'Datos Actividad'!$L109*'FE Sectorial'!$H112*'FE Sectorial'!J112/1000/1000</f>
        <v>0</v>
      </c>
      <c r="J113" s="17">
        <f>'Datos Actividad'!$L109*'FE Sectorial'!$H112*'FE Sectorial'!K112/1000/1000</f>
        <v>0</v>
      </c>
      <c r="K113" s="17">
        <f>'Datos Actividad'!$L109*'FE Sectorial'!$H112*'FE Sectorial'!L112/1000/1000</f>
        <v>0</v>
      </c>
      <c r="L113" s="17">
        <f>'Datos Actividad'!$L109*'FE Sectorial'!$H112*'FE Sectorial'!M112/1000/1000</f>
        <v>0</v>
      </c>
      <c r="M113" s="17">
        <f>'Datos Actividad'!$L109*'FE Sectorial'!$H112*'FE Sectorial'!N112/1000/1000</f>
        <v>0</v>
      </c>
      <c r="N113" s="17">
        <f>'Datos Actividad'!$L109*'FE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2400863.7302189986</v>
      </c>
      <c r="I114" s="15">
        <f t="shared" ref="I114:O114" si="29">I115</f>
        <v>127.63762521100472</v>
      </c>
      <c r="J114" s="15">
        <f t="shared" si="29"/>
        <v>127.63762521100472</v>
      </c>
      <c r="K114" s="15">
        <f t="shared" si="29"/>
        <v>26182.076966359942</v>
      </c>
      <c r="L114" s="15">
        <f t="shared" si="29"/>
        <v>32727.59620794993</v>
      </c>
      <c r="M114" s="15">
        <f t="shared" si="29"/>
        <v>6545.5192415899855</v>
      </c>
      <c r="N114" s="15">
        <f t="shared" si="29"/>
        <v>1187.3267461488813</v>
      </c>
      <c r="O114" s="15">
        <f t="shared" si="29"/>
        <v>2443111.784163841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Actividad'!$L111*'FE Sectorial'!$H114*'FE Sectorial'!I114*'FE Sectorial'!P114/1000</f>
        <v>2400863.7302189986</v>
      </c>
      <c r="I115" s="17">
        <f>'Datos Actividad'!$L111*'FE Sectorial'!$H114*'FE Sectorial'!J114/1000/1000</f>
        <v>127.63762521100472</v>
      </c>
      <c r="J115" s="17">
        <f>'Datos Actividad'!$L111*'FE Sectorial'!$H114*'FE Sectorial'!K114/1000/1000</f>
        <v>127.63762521100472</v>
      </c>
      <c r="K115" s="17">
        <f>'Datos Actividad'!$L111*'FE Sectorial'!$H114*'FE Sectorial'!L114/1000/1000</f>
        <v>26182.076966359942</v>
      </c>
      <c r="L115" s="17">
        <f>'Datos Actividad'!$L111*'FE Sectorial'!$H114*'FE Sectorial'!M114/1000/1000</f>
        <v>32727.59620794993</v>
      </c>
      <c r="M115" s="17">
        <f>'Datos Actividad'!$L111*'FE Sectorial'!$H114*'FE Sectorial'!N114/1000/1000</f>
        <v>6545.5192415899855</v>
      </c>
      <c r="N115" s="17">
        <f>'Datos Actividad'!$L111*'FE Sectorial'!$H114*'FE Sectorial'!O114/1000/1000</f>
        <v>1187.3267461488813</v>
      </c>
      <c r="O115" s="87">
        <f>IF(D115&lt;400,H115+I115*'Factores generales'!$M$41+J115*'Factores generales'!$N$41,I115*'Factores generales'!$M$41+J115*'Factores generales'!$N$41)</f>
        <v>2443111.784163841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171489.28788643502</v>
      </c>
      <c r="I116" s="134">
        <f t="shared" ref="I116:O116" si="30">I117</f>
        <v>9.7013392321147442</v>
      </c>
      <c r="J116" s="134">
        <f t="shared" si="30"/>
        <v>66.857422177947385</v>
      </c>
      <c r="K116" s="134">
        <f t="shared" si="30"/>
        <v>2805.206524948841</v>
      </c>
      <c r="L116" s="134">
        <f t="shared" si="30"/>
        <v>2337.6721041240344</v>
      </c>
      <c r="M116" s="134">
        <f t="shared" si="30"/>
        <v>467.53442082480683</v>
      </c>
      <c r="N116" s="134">
        <f t="shared" si="30"/>
        <v>84.808569358918447</v>
      </c>
      <c r="O116" s="134">
        <f t="shared" si="30"/>
        <v>192418.81688547312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Actividad'!$L113*'FE Sectorial'!$H116*'FE Sectorial'!I116*'FE Sectorial'!P116/1000</f>
        <v>171489.28788643502</v>
      </c>
      <c r="I117" s="17">
        <f>'Datos Actividad'!$L113*'FE Sectorial'!$H116*'FE Sectorial'!J116/1000/1000</f>
        <v>9.7013392321147442</v>
      </c>
      <c r="J117" s="17">
        <f>'Datos Actividad'!$L113*'FE Sectorial'!$H116*'FE Sectorial'!K116/1000/1000</f>
        <v>66.857422177947385</v>
      </c>
      <c r="K117" s="17">
        <f>'Datos Actividad'!$L113*'FE Sectorial'!$H116*'FE Sectorial'!L116/1000/1000</f>
        <v>2805.206524948841</v>
      </c>
      <c r="L117" s="17">
        <f>'Datos Actividad'!$L113*'FE Sectorial'!$H116*'FE Sectorial'!M116/1000/1000</f>
        <v>2337.6721041240344</v>
      </c>
      <c r="M117" s="17">
        <f>'Datos Actividad'!$L113*'FE Sectorial'!$H116*'FE Sectorial'!N116/1000/1000</f>
        <v>467.53442082480683</v>
      </c>
      <c r="N117" s="17">
        <f>'Datos Actividad'!$L113*'FE Sectorial'!$H116*'FE Sectorial'!O116/1000/1000</f>
        <v>84.808569358918447</v>
      </c>
      <c r="O117" s="87">
        <f>IF(D117&lt;400,H117+I117*'Factores generales'!$M$41+J117*'Factores generales'!$N$41,I117*'Factores generales'!$M$41+J117*'Factores generales'!$N$41)</f>
        <v>192418.81688547312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376873.02792061062</v>
      </c>
      <c r="I118" s="134">
        <f t="shared" ref="I118:O118" si="31">I122</f>
        <v>35.515587921449992</v>
      </c>
      <c r="J118" s="134">
        <f t="shared" si="31"/>
        <v>10.147310834700001</v>
      </c>
      <c r="K118" s="134">
        <f t="shared" si="31"/>
        <v>7610.4831260249994</v>
      </c>
      <c r="L118" s="134">
        <f t="shared" si="31"/>
        <v>5073.6554173499999</v>
      </c>
      <c r="M118" s="134">
        <f t="shared" si="31"/>
        <v>1014.7310834699999</v>
      </c>
      <c r="N118" s="134">
        <f t="shared" si="31"/>
        <v>415.50181054200004</v>
      </c>
      <c r="O118" s="134">
        <f t="shared" si="31"/>
        <v>380764.52162571804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2288837.5139282402</v>
      </c>
      <c r="I119" s="15">
        <f t="shared" ref="I119:O119" si="32">I120+I121</f>
        <v>211.08549111999997</v>
      </c>
      <c r="J119" s="15">
        <f t="shared" si="32"/>
        <v>60.310140319999995</v>
      </c>
      <c r="K119" s="15">
        <f t="shared" si="32"/>
        <v>45232.605240000004</v>
      </c>
      <c r="L119" s="15">
        <f t="shared" si="32"/>
        <v>30155.070159999999</v>
      </c>
      <c r="M119" s="15">
        <f t="shared" si="32"/>
        <v>6031.014032000001</v>
      </c>
      <c r="N119" s="15">
        <f t="shared" si="32"/>
        <v>4890.8069792000006</v>
      </c>
      <c r="O119" s="15">
        <f t="shared" si="32"/>
        <v>2311966.4527409598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Actividad'!$L116*'FE Sectorial'!$H119*'FE Sectorial'!I119*'FE Sectorial'!P119/1000</f>
        <v>490068.03286584001</v>
      </c>
      <c r="I120" s="17">
        <f>'Datos Actividad'!$L116*'FE Sectorial'!$H119*'FE Sectorial'!J119/1000/1000</f>
        <v>46.762854320000002</v>
      </c>
      <c r="J120" s="17">
        <f>'Datos Actividad'!$L116*'FE Sectorial'!$H119*'FE Sectorial'!K119/1000/1000</f>
        <v>13.360815520000003</v>
      </c>
      <c r="K120" s="17">
        <f>'Datos Actividad'!$L116*'FE Sectorial'!$H119*'FE Sectorial'!L119/1000/1000</f>
        <v>10020.611640000003</v>
      </c>
      <c r="L120" s="17">
        <f>'Datos Actividad'!$L116*'FE Sectorial'!$H119*'FE Sectorial'!M119/1000/1000</f>
        <v>6680.407760000001</v>
      </c>
      <c r="M120" s="17">
        <f>'Datos Actividad'!$L116*'FE Sectorial'!$H119*'FE Sectorial'!N119/1000/1000</f>
        <v>1336.0815520000001</v>
      </c>
      <c r="N120" s="17">
        <f>'Datos Actividad'!$L116*'FE Sectorial'!$H119*'FE Sectorial'!O119/1000/1000</f>
        <v>242.35897920000002</v>
      </c>
      <c r="O120" s="87">
        <f>IF(D120&lt;400,H120+I120*'Factores generales'!$M$41+J120*'Factores generales'!$N$41,I120*'Factores generales'!$M$41+J120*'Factores generales'!$N$41)</f>
        <v>495191.90561776003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Actividad'!$L117*'FE Sectorial'!$H120*'FE Sectorial'!I120*'FE Sectorial'!P120/1000</f>
        <v>1798769.4810623999</v>
      </c>
      <c r="I121" s="17">
        <f>'Datos Actividad'!$L117*'FE Sectorial'!$H120*'FE Sectorial'!J120/1000/1000</f>
        <v>164.32263679999997</v>
      </c>
      <c r="J121" s="17">
        <f>'Datos Actividad'!$L117*'FE Sectorial'!$H120*'FE Sectorial'!K120/1000/1000</f>
        <v>46.949324799999992</v>
      </c>
      <c r="K121" s="17">
        <f>'Datos Actividad'!$L117*'FE Sectorial'!$H120*'FE Sectorial'!L120/1000/1000</f>
        <v>35211.993600000002</v>
      </c>
      <c r="L121" s="17">
        <f>'Datos Actividad'!$L117*'FE Sectorial'!$H120*'FE Sectorial'!M120/1000/1000</f>
        <v>23474.662399999997</v>
      </c>
      <c r="M121" s="17">
        <f>'Datos Actividad'!$L117*'FE Sectorial'!$H120*'FE Sectorial'!N120/1000/1000</f>
        <v>4694.9324800000004</v>
      </c>
      <c r="N121" s="17">
        <f>'Datos Actividad'!$L117*'FE Sectorial'!$H120*'FE Sectorial'!O120/1000/1000</f>
        <v>4648.4480000000003</v>
      </c>
      <c r="O121" s="87">
        <f>IF(D121&lt;400,H121+I121*'Factores generales'!$M$41+J121*'Factores generales'!$N$41,I121*'Factores generales'!$M$41+J121*'Factores generales'!$N$41)</f>
        <v>1816774.5471231998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376873.02792061062</v>
      </c>
      <c r="I122" s="15">
        <f t="shared" ref="I122:O122" si="33">I123+I124</f>
        <v>35.515587921449992</v>
      </c>
      <c r="J122" s="15">
        <f t="shared" si="33"/>
        <v>10.147310834700001</v>
      </c>
      <c r="K122" s="15">
        <f t="shared" si="33"/>
        <v>7610.4831260249994</v>
      </c>
      <c r="L122" s="15">
        <f t="shared" si="33"/>
        <v>5073.6554173499999</v>
      </c>
      <c r="M122" s="15">
        <f t="shared" si="33"/>
        <v>1014.7310834699999</v>
      </c>
      <c r="N122" s="15">
        <f t="shared" si="33"/>
        <v>415.50181054200004</v>
      </c>
      <c r="O122" s="15">
        <f t="shared" si="33"/>
        <v>380764.52162571804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Actividad'!$L119*'FE Sectorial'!$H122*'FE Sectorial'!I122*'FE Sectorial'!P122/1000</f>
        <v>267229.12236771459</v>
      </c>
      <c r="I123" s="17">
        <f>'Datos Actividad'!$L119*'FE Sectorial'!$H122*'FE Sectorial'!J122/1000/1000</f>
        <v>25.499309649449994</v>
      </c>
      <c r="J123" s="17">
        <f>'Datos Actividad'!$L119*'FE Sectorial'!$H122*'FE Sectorial'!K122/1000/1000</f>
        <v>7.2855170426999996</v>
      </c>
      <c r="K123" s="17">
        <f>'Datos Actividad'!$L119*'FE Sectorial'!$H122*'FE Sectorial'!L122/1000/1000</f>
        <v>5464.137782025</v>
      </c>
      <c r="L123" s="17">
        <f>'Datos Actividad'!$L119*'FE Sectorial'!$H122*'FE Sectorial'!M122/1000/1000</f>
        <v>3642.7585213499997</v>
      </c>
      <c r="M123" s="17">
        <f>'Datos Actividad'!$L119*'FE Sectorial'!$H122*'FE Sectorial'!N122/1000/1000</f>
        <v>728.55170426999985</v>
      </c>
      <c r="N123" s="17">
        <f>'Datos Actividad'!$L119*'FE Sectorial'!$H122*'FE Sectorial'!O122/1000/1000</f>
        <v>132.15589054199998</v>
      </c>
      <c r="O123" s="87">
        <f>IF(D123&lt;400,H123+I123*'Factores generales'!$M$41+J123*'Factores generales'!$N$41,I123*'Factores generales'!$M$41+J123*'Factores generales'!$N$41)</f>
        <v>270023.11815359001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Actividad'!$L120*'FE Sectorial'!$H123*'FE Sectorial'!I123*'FE Sectorial'!P123/1000</f>
        <v>109643.90555289602</v>
      </c>
      <c r="I124" s="17">
        <f>'Datos Actividad'!$L120*'FE Sectorial'!$H123*'FE Sectorial'!J123/1000/1000</f>
        <v>10.016278272000001</v>
      </c>
      <c r="J124" s="17">
        <f>'Datos Actividad'!$L120*'FE Sectorial'!$H123*'FE Sectorial'!K123/1000/1000</f>
        <v>2.8617937920000003</v>
      </c>
      <c r="K124" s="17">
        <f>'Datos Actividad'!$L120*'FE Sectorial'!$H123*'FE Sectorial'!L123/1000/1000</f>
        <v>2146.3453439999998</v>
      </c>
      <c r="L124" s="17">
        <f>'Datos Actividad'!$L120*'FE Sectorial'!$H123*'FE Sectorial'!M123/1000/1000</f>
        <v>1430.8968960000002</v>
      </c>
      <c r="M124" s="17">
        <f>'Datos Actividad'!$L120*'FE Sectorial'!$H123*'FE Sectorial'!N123/1000/1000</f>
        <v>286.17937920000003</v>
      </c>
      <c r="N124" s="17">
        <f>'Datos Actividad'!$L120*'FE Sectorial'!$H123*'FE Sectorial'!O123/1000/1000</f>
        <v>283.34592000000004</v>
      </c>
      <c r="O124" s="87">
        <f>IF(D124&lt;400,H124+I124*'Factores generales'!$M$41+J124*'Factores generales'!$N$41,I124*'Factores generales'!$M$41+J124*'Factores generales'!$N$41)</f>
        <v>110741.40347212802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2854311.0475175991</v>
      </c>
      <c r="I125" s="134">
        <f t="shared" si="34"/>
        <v>51.154027799999994</v>
      </c>
      <c r="J125" s="134">
        <f t="shared" si="34"/>
        <v>5.1240715800000007</v>
      </c>
      <c r="K125" s="134">
        <f t="shared" si="34"/>
        <v>7665.8801699999995</v>
      </c>
      <c r="L125" s="134">
        <f t="shared" si="34"/>
        <v>1021.7802360000001</v>
      </c>
      <c r="M125" s="134">
        <f t="shared" si="34"/>
        <v>255.481179</v>
      </c>
      <c r="N125" s="134">
        <f t="shared" si="34"/>
        <v>1.0483199999999999</v>
      </c>
      <c r="O125" s="134">
        <f t="shared" si="34"/>
        <v>2856973.7442911994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2854311.0475175991</v>
      </c>
      <c r="I126" s="15">
        <f t="shared" si="35"/>
        <v>51.154027799999994</v>
      </c>
      <c r="J126" s="15">
        <f t="shared" si="35"/>
        <v>5.1240715800000007</v>
      </c>
      <c r="K126" s="15">
        <f t="shared" si="35"/>
        <v>7665.8801699999995</v>
      </c>
      <c r="L126" s="15">
        <f t="shared" si="35"/>
        <v>1021.7802360000001</v>
      </c>
      <c r="M126" s="15">
        <f t="shared" si="35"/>
        <v>255.481179</v>
      </c>
      <c r="N126" s="15">
        <f t="shared" si="35"/>
        <v>1.0483199999999999</v>
      </c>
      <c r="O126" s="15">
        <f t="shared" si="35"/>
        <v>2856973.7442911994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Actividad'!$L123*'FE Sectorial'!$H126*'FE Sectorial'!I126*'FE Sectorial'!P126/1000</f>
        <v>2789296.2173735993</v>
      </c>
      <c r="I127" s="17">
        <f>'Datos Actividad'!$L123*'FE Sectorial'!$H126*'FE Sectorial'!J126/1000/1000</f>
        <v>49.969924799999994</v>
      </c>
      <c r="J127" s="17">
        <f>'Datos Actividad'!$L123*'FE Sectorial'!$H126*'FE Sectorial'!K126/1000/1000</f>
        <v>4.9969924800000003</v>
      </c>
      <c r="K127" s="17">
        <f>'Datos Actividad'!$L123*'FE Sectorial'!$H126*'FE Sectorial'!L126/1000/1000</f>
        <v>7495.4887199999994</v>
      </c>
      <c r="L127" s="17">
        <f>'Datos Actividad'!$L123*'FE Sectorial'!$H126*'FE Sectorial'!M126/1000/1000</f>
        <v>999.39849600000002</v>
      </c>
      <c r="M127" s="17">
        <f>'Datos Actividad'!$L123*'FE Sectorial'!$H126*'FE Sectorial'!N126/1000/1000</f>
        <v>249.84962400000001</v>
      </c>
      <c r="N127" s="17">
        <f>'Datos Actividad'!$L123*'FE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2791894.6534631993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Actividad'!$L124*'FE Sectorial'!$H127*'FE Sectorial'!I127*'FE Sectorial'!P127/1000</f>
        <v>2119.7816639999992</v>
      </c>
      <c r="I128" s="17">
        <f>'Datos Actividad'!$L124*'FE Sectorial'!$H127*'FE Sectorial'!J127/1000/1000</f>
        <v>8.6688000000000001E-2</v>
      </c>
      <c r="J128" s="17">
        <f>'Datos Actividad'!$L124*'FE Sectorial'!$H127*'FE Sectorial'!K127/1000/1000</f>
        <v>1.7337599999999998E-2</v>
      </c>
      <c r="K128" s="17">
        <f>'Datos Actividad'!$L124*'FE Sectorial'!$H127*'FE Sectorial'!L127/1000/1000</f>
        <v>5.7791999999999994</v>
      </c>
      <c r="L128" s="17">
        <f>'Datos Actividad'!$L124*'FE Sectorial'!$H127*'FE Sectorial'!M127/1000/1000</f>
        <v>0.43343999999999999</v>
      </c>
      <c r="M128" s="17">
        <f>'Datos Actividad'!$L124*'FE Sectorial'!$H127*'FE Sectorial'!N127/1000/1000</f>
        <v>0.14448</v>
      </c>
      <c r="N128" s="17">
        <f>'Datos Actividad'!$L124*'FE Sectorial'!$H127*'FE Sectorial'!O127/1000/1000</f>
        <v>1.0483199999999999</v>
      </c>
      <c r="O128" s="87">
        <f>IF(D128&lt;400,H128+I128*'Factores generales'!$M$41+J128*'Factores generales'!$N$41,I128*'Factores generales'!$M$41+J128*'Factores generales'!$N$41)</f>
        <v>2126.9767679999991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Actividad'!$L125*'FE Sectorial'!$H128*'FE Sectorial'!I128*'FE Sectorial'!P128/1000</f>
        <v>62895.048479999998</v>
      </c>
      <c r="I129" s="17">
        <f>'Datos Actividad'!$L125*'FE Sectorial'!$H128*'FE Sectorial'!J128/1000/1000</f>
        <v>1.097415</v>
      </c>
      <c r="J129" s="17">
        <f>'Datos Actividad'!$L125*'FE Sectorial'!$H128*'FE Sectorial'!K128/1000/1000</f>
        <v>0.10974150000000001</v>
      </c>
      <c r="K129" s="17">
        <f>'Datos Actividad'!$L125*'FE Sectorial'!$H128*'FE Sectorial'!L128/1000/1000</f>
        <v>164.61224999999999</v>
      </c>
      <c r="L129" s="17">
        <f>'Datos Actividad'!$L125*'FE Sectorial'!$H128*'FE Sectorial'!M128/1000/1000</f>
        <v>21.9483</v>
      </c>
      <c r="M129" s="17">
        <f>'Datos Actividad'!$L125*'FE Sectorial'!$H128*'FE Sectorial'!N128/1000/1000</f>
        <v>5.4870749999999999</v>
      </c>
      <c r="N129" s="17">
        <f>'Datos Actividad'!$L125*'FE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62952.11406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35257112.024258196</v>
      </c>
      <c r="I131" s="129">
        <f t="shared" si="36"/>
        <v>3168.1350073315302</v>
      </c>
      <c r="J131" s="129">
        <f t="shared" si="36"/>
        <v>198.90655081466417</v>
      </c>
      <c r="K131" s="129">
        <f t="shared" si="36"/>
        <v>230392.97099967522</v>
      </c>
      <c r="L131" s="129">
        <f t="shared" si="36"/>
        <v>259359.31720957838</v>
      </c>
      <c r="M131" s="129">
        <f t="shared" si="36"/>
        <v>33856.862562376591</v>
      </c>
      <c r="N131" s="129">
        <f t="shared" si="36"/>
        <v>7805.1822082445706</v>
      </c>
      <c r="O131" s="129">
        <f t="shared" si="36"/>
        <v>35385303.890164703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3947844.1369040823</v>
      </c>
      <c r="I132" s="134">
        <f>SUM(I133:I137)</f>
        <v>155.24621586243782</v>
      </c>
      <c r="J132" s="134">
        <f t="shared" ref="J132:O132" si="37">SUM(J133:J137)</f>
        <v>19.36547334549531</v>
      </c>
      <c r="K132" s="134">
        <f t="shared" si="37"/>
        <v>10253.069095021505</v>
      </c>
      <c r="L132" s="134">
        <f t="shared" si="37"/>
        <v>16502.463436576665</v>
      </c>
      <c r="M132" s="134">
        <f t="shared" si="37"/>
        <v>1926.724426467573</v>
      </c>
      <c r="N132" s="134">
        <f t="shared" si="37"/>
        <v>1022.8159615779128</v>
      </c>
      <c r="O132" s="134">
        <f t="shared" si="37"/>
        <v>3957107.6041742968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Actividad'!$L129*'FE Sectorial'!$H132*'FE Sectorial'!I132*'FE Sectorial'!P132/1000</f>
        <v>257749.98260869563</v>
      </c>
      <c r="I133" s="17">
        <f>'Datos Actividad'!$L129*'FE Sectorial'!$H132*'FE Sectorial'!J132/1000/1000</f>
        <v>79.356521739130429</v>
      </c>
      <c r="J133" s="17">
        <f>'Datos Actividad'!$L129*'FE Sectorial'!$H132*'FE Sectorial'!K132/1000/1000</f>
        <v>10.580869565217391</v>
      </c>
      <c r="K133" s="17">
        <f>'Datos Actividad'!$L129*'FE Sectorial'!$H132*'FE Sectorial'!L132/1000/1000</f>
        <v>264.52173913043475</v>
      </c>
      <c r="L133" s="17">
        <f>'Datos Actividad'!$L129*'FE Sectorial'!$H132*'FE Sectorial'!M132/1000/1000</f>
        <v>13226.086956521738</v>
      </c>
      <c r="M133" s="17">
        <f>'Datos Actividad'!$L129*'FE Sectorial'!$H132*'FE Sectorial'!N132/1000/1000</f>
        <v>1587.1304347826085</v>
      </c>
      <c r="N133" s="17">
        <f>'Datos Actividad'!$L129*'FE Sectorial'!$H132*'FE Sectorial'!O132/1000/1000</f>
        <v>678.26086956521738</v>
      </c>
      <c r="O133" s="87">
        <f>IF(D133&lt;400,H133+I133*'Factores generales'!$M$41+J133*'Factores generales'!$N$41,I133*'Factores generales'!$M$41+J133*'Factores generales'!$N$41)</f>
        <v>4946.5565217391304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Actividad'!$L130*'FE Sectorial'!$H133*'FE Sectorial'!I133*'FE Sectorial'!P133/1000</f>
        <v>2865390.6994415997</v>
      </c>
      <c r="I134" s="17">
        <f>'Datos Actividad'!$L130*'FE Sectorial'!$H133*'FE Sectorial'!J133/1000/1000</f>
        <v>51.333148799999996</v>
      </c>
      <c r="J134" s="17">
        <f>'Datos Actividad'!$L130*'FE Sectorial'!$H133*'FE Sectorial'!K133/1000/1000</f>
        <v>5.1333148799999995</v>
      </c>
      <c r="K134" s="17">
        <f>'Datos Actividad'!$L130*'FE Sectorial'!$H133*'FE Sectorial'!L133/1000/1000</f>
        <v>7699.9723199999999</v>
      </c>
      <c r="L134" s="17">
        <f>'Datos Actividad'!$L130*'FE Sectorial'!$H133*'FE Sectorial'!M133/1000/1000</f>
        <v>2566.65744</v>
      </c>
      <c r="M134" s="17">
        <f>'Datos Actividad'!$L130*'FE Sectorial'!$H133*'FE Sectorial'!N133/1000/1000</f>
        <v>256.66574400000002</v>
      </c>
      <c r="N134" s="17">
        <f>'Datos Actividad'!$L130*'FE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2868060.0231791995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Actividad'!$L131*'FE Sectorial'!$H134*'FE Sectorial'!I134*'FE Sectorial'!P134/1000</f>
        <v>787121.99648876721</v>
      </c>
      <c r="I135" s="17">
        <f>'Datos Actividad'!$L131*'FE Sectorial'!$H134*'FE Sectorial'!J134/1000/1000</f>
        <v>12.600201643835616</v>
      </c>
      <c r="J135" s="17">
        <f>'Datos Actividad'!$L131*'FE Sectorial'!$H134*'FE Sectorial'!K134/1000/1000</f>
        <v>1.260020164383562</v>
      </c>
      <c r="K135" s="17">
        <f>'Datos Actividad'!$L131*'FE Sectorial'!$H134*'FE Sectorial'!L134/1000/1000</f>
        <v>1890.0302465753427</v>
      </c>
      <c r="L135" s="17">
        <f>'Datos Actividad'!$L131*'FE Sectorial'!$H134*'FE Sectorial'!M134/1000/1000</f>
        <v>630.01008219178084</v>
      </c>
      <c r="M135" s="17">
        <f>'Datos Actividad'!$L131*'FE Sectorial'!$H134*'FE Sectorial'!N134/1000/1000</f>
        <v>63.00100821917809</v>
      </c>
      <c r="N135" s="17">
        <f>'Datos Actividad'!$L131*'FE Sectorial'!$H134*'FE Sectorial'!O134/1000/1000</f>
        <v>53.277808219178091</v>
      </c>
      <c r="O135" s="87">
        <f>IF(D135&lt;400,H135+I135*'Factores generales'!$M$41+J135*'Factores generales'!$N$41,I135*'Factores generales'!$M$41+J135*'Factores generales'!$N$41)</f>
        <v>787777.20697424666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Actividad'!$L132*'FE Sectorial'!$H135*'FE Sectorial'!I135*'FE Sectorial'!P135/1000</f>
        <v>225836.35036147057</v>
      </c>
      <c r="I136" s="17">
        <f>'Datos Actividad'!$L132*'FE Sectorial'!$H135*'FE Sectorial'!J135/1000/1000</f>
        <v>9.2355273529411743</v>
      </c>
      <c r="J136" s="17">
        <f>'Datos Actividad'!$L132*'FE Sectorial'!$H135*'FE Sectorial'!K135/1000/1000</f>
        <v>1.8471054705882353</v>
      </c>
      <c r="K136" s="17">
        <f>'Datos Actividad'!$L132*'FE Sectorial'!$H135*'FE Sectorial'!L135/1000/1000</f>
        <v>307.85091176470593</v>
      </c>
      <c r="L136" s="17">
        <f>'Datos Actividad'!$L132*'FE Sectorial'!$H135*'FE Sectorial'!M135/1000/1000</f>
        <v>61.570182352941181</v>
      </c>
      <c r="M136" s="17">
        <f>'Datos Actividad'!$L132*'FE Sectorial'!$H135*'FE Sectorial'!N135/1000/1000</f>
        <v>15.392545588235295</v>
      </c>
      <c r="N136" s="17">
        <f>'Datos Actividad'!$L132*'FE Sectorial'!$H135*'FE Sectorial'!O135/1000/1000</f>
        <v>111.68544705882353</v>
      </c>
      <c r="O136" s="87">
        <f>IF(D136&lt;400,H136+I136*'Factores generales'!$M$41+J136*'Factores generales'!$N$41,I136*'Factores generales'!$M$41+J136*'Factores generales'!$N$41)</f>
        <v>226602.89913176469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Actividad'!$L133*'FE Sectorial'!$H136*'FE Sectorial'!I136*'FE Sectorial'!P136/1000</f>
        <v>69495.090612244894</v>
      </c>
      <c r="I137" s="17">
        <f>'Datos Actividad'!$L133*'FE Sectorial'!$H136*'FE Sectorial'!J136/1000/1000</f>
        <v>2.720816326530612</v>
      </c>
      <c r="J137" s="17">
        <f>'Datos Actividad'!$L133*'FE Sectorial'!$H136*'FE Sectorial'!K136/1000/1000</f>
        <v>0.54416326530612236</v>
      </c>
      <c r="K137" s="17">
        <f>'Datos Actividad'!$L133*'FE Sectorial'!$H136*'FE Sectorial'!L136/1000/1000</f>
        <v>90.693877551020393</v>
      </c>
      <c r="L137" s="17">
        <f>'Datos Actividad'!$L133*'FE Sectorial'!$H136*'FE Sectorial'!M136/1000/1000</f>
        <v>18.138775510204081</v>
      </c>
      <c r="M137" s="17">
        <f>'Datos Actividad'!$L133*'FE Sectorial'!$H136*'FE Sectorial'!N136/1000/1000</f>
        <v>4.5346938775510202</v>
      </c>
      <c r="N137" s="17">
        <f>'Datos Actividad'!$L133*'FE Sectorial'!$H136*'FE Sectorial'!O136/1000/1000</f>
        <v>179.59183673469389</v>
      </c>
      <c r="O137" s="87">
        <f>IF(D137&lt;400,H137+I137*'Factores generales'!$M$41+J137*'Factores generales'!$N$41,I137*'Factores generales'!$M$41+J137*'Factores generales'!$N$41)</f>
        <v>69720.918367346938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20936092.701530673</v>
      </c>
      <c r="I138" s="134">
        <f>SUM(I139:I144)</f>
        <v>2596.590557069092</v>
      </c>
      <c r="J138" s="134">
        <f t="shared" ref="J138:O138" si="38">SUM(J139:J144)</f>
        <v>96.806438990995332</v>
      </c>
      <c r="K138" s="134">
        <f t="shared" si="38"/>
        <v>54933.129149219887</v>
      </c>
      <c r="L138" s="134">
        <f t="shared" si="38"/>
        <v>105578.29944484339</v>
      </c>
      <c r="M138" s="134">
        <f t="shared" si="38"/>
        <v>4500.6776903686778</v>
      </c>
      <c r="N138" s="134">
        <f t="shared" si="38"/>
        <v>1673.5714504125781</v>
      </c>
      <c r="O138" s="134">
        <f t="shared" si="38"/>
        <v>21020631.099316329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Actividad'!$L135*'FE Sectorial'!$H138*'FE Sectorial'!I138*'FE Sectorial'!P138/1000</f>
        <v>264358.95652173914</v>
      </c>
      <c r="I139" s="17">
        <f>'Datos Actividad'!$L135*'FE Sectorial'!$H138*'FE Sectorial'!J138/1000/1000</f>
        <v>81.391304347826093</v>
      </c>
      <c r="J139" s="17">
        <f>'Datos Actividad'!$L135*'FE Sectorial'!$H138*'FE Sectorial'!K138/1000/1000</f>
        <v>10.852173913043478</v>
      </c>
      <c r="K139" s="17">
        <f>'Datos Actividad'!$L135*'FE Sectorial'!$H138*'FE Sectorial'!L138/1000/1000</f>
        <v>271.30434782608694</v>
      </c>
      <c r="L139" s="17">
        <f>'Datos Actividad'!$L135*'FE Sectorial'!$H138*'FE Sectorial'!M138/1000/1000</f>
        <v>13565.217391304348</v>
      </c>
      <c r="M139" s="17">
        <f>'Datos Actividad'!$L135*'FE Sectorial'!$H138*'FE Sectorial'!N138/1000/1000</f>
        <v>1627.8260869565217</v>
      </c>
      <c r="N139" s="17">
        <f>'Datos Actividad'!$L135*'FE Sectorial'!$H138*'FE Sectorial'!O138/1000/1000</f>
        <v>695.6521739130435</v>
      </c>
      <c r="O139" s="87">
        <f>IF(D139&lt;400,H139+I139*'Factores generales'!$M$41+J139*'Factores generales'!$N$41,I139*'Factores generales'!$M$41+J139*'Factores generales'!$N$41)</f>
        <v>5073.391304347826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Actividad'!$L136*'FE Sectorial'!$H139*'FE Sectorial'!I139*'FE Sectorial'!P139/1000</f>
        <v>0</v>
      </c>
      <c r="I140" s="17">
        <f>'Datos Actividad'!$L136*'FE Sectorial'!$H139*'FE Sectorial'!J139/1000/1000</f>
        <v>0</v>
      </c>
      <c r="J140" s="17">
        <f>'Datos Actividad'!$L136*'FE Sectorial'!$H139*'FE Sectorial'!K139/1000/1000</f>
        <v>0</v>
      </c>
      <c r="K140" s="17">
        <f>'Datos Actividad'!$L136*'FE Sectorial'!$H139*'FE Sectorial'!L139/1000/1000</f>
        <v>0</v>
      </c>
      <c r="L140" s="17">
        <f>'Datos Actividad'!$L136*'FE Sectorial'!$H139*'FE Sectorial'!M139/1000/1000</f>
        <v>0</v>
      </c>
      <c r="M140" s="17">
        <f>'Datos Actividad'!$L136*'FE Sectorial'!$H139*'FE Sectorial'!N139/1000/1000</f>
        <v>0</v>
      </c>
      <c r="N140" s="17">
        <f>'Datos Actividad'!$L136*'FE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Actividad'!$L137*'FE Sectorial'!$H140*'FE Sectorial'!I140*'FE Sectorial'!P140/1000</f>
        <v>15185954.245413601</v>
      </c>
      <c r="I141" s="17">
        <f>'Datos Actividad'!$L137*'FE Sectorial'!$H140*'FE Sectorial'!J140/1000/1000</f>
        <v>272.05464480000001</v>
      </c>
      <c r="J141" s="17">
        <f>'Datos Actividad'!$L137*'FE Sectorial'!$H140*'FE Sectorial'!K140/1000/1000</f>
        <v>27.205464480000003</v>
      </c>
      <c r="K141" s="17">
        <f>'Datos Actividad'!$L137*'FE Sectorial'!$H140*'FE Sectorial'!L140/1000/1000</f>
        <v>40808.19672</v>
      </c>
      <c r="L141" s="17">
        <f>'Datos Actividad'!$L137*'FE Sectorial'!$H140*'FE Sectorial'!M140/1000/1000</f>
        <v>13602.732239999999</v>
      </c>
      <c r="M141" s="17">
        <f>'Datos Actividad'!$L137*'FE Sectorial'!$H140*'FE Sectorial'!N140/1000/1000</f>
        <v>1360.273224</v>
      </c>
      <c r="N141" s="17">
        <f>'Datos Actividad'!$L137*'FE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15200101.086943202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Actividad'!$L138*'FE Sectorial'!$H141*'FE Sectorial'!I141*'FE Sectorial'!P141/1000</f>
        <v>4722731.9789326033</v>
      </c>
      <c r="I142" s="17">
        <f>'Datos Actividad'!$L138*'FE Sectorial'!$H141*'FE Sectorial'!J141/1000/1000</f>
        <v>75.601209863013707</v>
      </c>
      <c r="J142" s="17">
        <f>'Datos Actividad'!$L138*'FE Sectorial'!$H141*'FE Sectorial'!K141/1000/1000</f>
        <v>7.5601209863013699</v>
      </c>
      <c r="K142" s="17">
        <f>'Datos Actividad'!$L138*'FE Sectorial'!$H141*'FE Sectorial'!L141/1000/1000</f>
        <v>11340.181479452054</v>
      </c>
      <c r="L142" s="17">
        <f>'Datos Actividad'!$L138*'FE Sectorial'!$H141*'FE Sectorial'!M141/1000/1000</f>
        <v>3780.060493150685</v>
      </c>
      <c r="M142" s="17">
        <f>'Datos Actividad'!$L138*'FE Sectorial'!$H141*'FE Sectorial'!N141/1000/1000</f>
        <v>378.00604931506848</v>
      </c>
      <c r="N142" s="17">
        <f>'Datos Actividad'!$L138*'FE Sectorial'!$H141*'FE Sectorial'!O141/1000/1000</f>
        <v>319.66684931506859</v>
      </c>
      <c r="O142" s="87">
        <f>IF(D142&lt;400,H142+I142*'Factores generales'!$M$41+J142*'Factores generales'!$N$41,I142*'Factores generales'!$M$41+J142*'Factores generales'!$N$41)</f>
        <v>4726663.2418454792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Actividad'!$L139*'FE Sectorial'!$H142*'FE Sectorial'!I142*'FE Sectorial'!P142/1000</f>
        <v>1027406.477184466</v>
      </c>
      <c r="I143" s="17">
        <f>'Datos Actividad'!$L139*'FE Sectorial'!$H142*'FE Sectorial'!J142/1000/1000</f>
        <v>43.543398058252421</v>
      </c>
      <c r="J143" s="17">
        <f>'Datos Actividad'!$L139*'FE Sectorial'!$H142*'FE Sectorial'!K142/1000/1000</f>
        <v>8.708679611650485</v>
      </c>
      <c r="K143" s="17">
        <f>'Datos Actividad'!$L139*'FE Sectorial'!$H142*'FE Sectorial'!L142/1000/1000</f>
        <v>1451.4466019417475</v>
      </c>
      <c r="L143" s="17">
        <f>'Datos Actividad'!$L139*'FE Sectorial'!$H142*'FE Sectorial'!M142/1000/1000</f>
        <v>290.28932038834955</v>
      </c>
      <c r="M143" s="17">
        <f>'Datos Actividad'!$L139*'FE Sectorial'!$H142*'FE Sectorial'!N142/1000/1000</f>
        <v>72.572330097087388</v>
      </c>
      <c r="N143" s="17">
        <f>'Datos Actividad'!$L139*'FE Sectorial'!$H142*'FE Sectorial'!O142/1000/1000</f>
        <v>658.252427184466</v>
      </c>
      <c r="O143" s="87">
        <f>IF(D143&lt;400,H143+I143*'Factores generales'!$M$41+J143*'Factores generales'!$N$41,I143*'Factores generales'!$M$41+J143*'Factores generales'!$N$41)</f>
        <v>1031020.5792233009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Actividad'!$L140*'FE Sectorial'!$H143*'FE Sectorial'!I143*'FE Sectorial'!P143/1000</f>
        <v>1034812.8</v>
      </c>
      <c r="I144" s="17">
        <f>'Datos Actividad'!$L140*'FE Sectorial'!$H143*'FE Sectorial'!J143/1000/1000</f>
        <v>2124</v>
      </c>
      <c r="J144" s="17">
        <f>'Datos Actividad'!$L140*'FE Sectorial'!$H143*'FE Sectorial'!K143/1000/1000</f>
        <v>42.48</v>
      </c>
      <c r="K144" s="17">
        <f>'Datos Actividad'!$L140*'FE Sectorial'!$H143*'FE Sectorial'!L143/1000/1000</f>
        <v>1062</v>
      </c>
      <c r="L144" s="17">
        <f>'Datos Actividad'!$L140*'FE Sectorial'!$H143*'FE Sectorial'!M143/1000/1000</f>
        <v>74340</v>
      </c>
      <c r="M144" s="17">
        <f>'Datos Actividad'!$L140*'FE Sectorial'!$H143*'FE Sectorial'!N143/1000/1000</f>
        <v>1062</v>
      </c>
      <c r="N144" s="17">
        <f>'Datos Actividad'!$L140*'FE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57772.800000000003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10373175.185823439</v>
      </c>
      <c r="I145" s="134">
        <f t="shared" ref="I145:O145" si="39">SUM(I146:I149)</f>
        <v>416.29823440000013</v>
      </c>
      <c r="J145" s="134">
        <f t="shared" si="39"/>
        <v>82.734638478173537</v>
      </c>
      <c r="K145" s="134">
        <f t="shared" si="39"/>
        <v>165206.77275543383</v>
      </c>
      <c r="L145" s="134">
        <f t="shared" si="39"/>
        <v>137278.55432815832</v>
      </c>
      <c r="M145" s="134">
        <f t="shared" si="39"/>
        <v>27429.460445540342</v>
      </c>
      <c r="N145" s="134">
        <f t="shared" si="39"/>
        <v>5108.7947962540793</v>
      </c>
      <c r="O145" s="134">
        <f t="shared" si="39"/>
        <v>10407565.186674073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Actividad'!$L142*'FE Sectorial'!$H145*'FE Sectorial'!I145*'FE Sectorial'!P145/1000</f>
        <v>327967.49853698642</v>
      </c>
      <c r="I146" s="17">
        <f>'Datos Actividad'!$L142*'FE Sectorial'!$H145*'FE Sectorial'!J145/1000/1000</f>
        <v>5.2500840182648414</v>
      </c>
      <c r="J146" s="17">
        <f>'Datos Actividad'!$L142*'FE Sectorial'!$H145*'FE Sectorial'!K145/1000/1000</f>
        <v>0.52500840182648412</v>
      </c>
      <c r="K146" s="17">
        <f>'Datos Actividad'!$L142*'FE Sectorial'!$H145*'FE Sectorial'!L145/1000/1000</f>
        <v>787.51260273972616</v>
      </c>
      <c r="L146" s="17">
        <f>'Datos Actividad'!$L142*'FE Sectorial'!$H145*'FE Sectorial'!M145/1000/1000</f>
        <v>262.50420091324207</v>
      </c>
      <c r="M146" s="17">
        <f>'Datos Actividad'!$L142*'FE Sectorial'!$H145*'FE Sectorial'!N145/1000/1000</f>
        <v>26.250420091324205</v>
      </c>
      <c r="N146" s="17">
        <f>'Datos Actividad'!$L142*'FE Sectorial'!$H145*'FE Sectorial'!O145/1000/1000</f>
        <v>22.199086757990877</v>
      </c>
      <c r="O146" s="87">
        <f>IF(D146&lt;400,H146+I146*'Factores generales'!$M$41+J146*'Factores generales'!$N$41,I146*'Factores generales'!$M$41+J146*'Factores generales'!$N$41)</f>
        <v>328240.50290593621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Actividad'!$L143*'FE Sectorial'!$H146*'FE Sectorial'!I146*'FE Sectorial'!P146/1000</f>
        <v>141730.76007391303</v>
      </c>
      <c r="I147" s="17">
        <f>'Datos Actividad'!$L143*'FE Sectorial'!$H146*'FE Sectorial'!J146/1000/1000</f>
        <v>6.1975057971014493</v>
      </c>
      <c r="J147" s="17">
        <f>'Datos Actividad'!$L143*'FE Sectorial'!$H146*'FE Sectorial'!K146/1000/1000</f>
        <v>1.2395011594202896</v>
      </c>
      <c r="K147" s="17">
        <f>'Datos Actividad'!$L143*'FE Sectorial'!$H146*'FE Sectorial'!L146/1000/1000</f>
        <v>2479.0023188405794</v>
      </c>
      <c r="L147" s="17">
        <f>'Datos Actividad'!$L143*'FE Sectorial'!$H146*'FE Sectorial'!M146/1000/1000</f>
        <v>2065.835265700483</v>
      </c>
      <c r="M147" s="17">
        <f>'Datos Actividad'!$L143*'FE Sectorial'!$H146*'FE Sectorial'!N146/1000/1000</f>
        <v>413.16705314009658</v>
      </c>
      <c r="N147" s="17">
        <f>'Datos Actividad'!$L143*'FE Sectorial'!$H146*'FE Sectorial'!O146/1000/1000</f>
        <v>9.3265700483091791</v>
      </c>
      <c r="O147" s="87">
        <f>IF(D147&lt;400,H147+I147*'Factores generales'!$M$41+J147*'Factores generales'!$N$41,I147*'Factores generales'!$M$41+J147*'Factores generales'!$N$41)</f>
        <v>142245.15305507244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Actividad'!$L144*'FE Sectorial'!$H147*'FE Sectorial'!I147*'FE Sectorial'!P147/1000</f>
        <v>9817536.7710672338</v>
      </c>
      <c r="I148" s="17">
        <f>'Datos Actividad'!$L144*'FE Sectorial'!$H147*'FE Sectorial'!J147/1000/1000</f>
        <v>401.48598417647054</v>
      </c>
      <c r="J148" s="17">
        <f>'Datos Actividad'!$L144*'FE Sectorial'!$H147*'FE Sectorial'!K147/1000/1000</f>
        <v>80.297196835294116</v>
      </c>
      <c r="K148" s="17">
        <f>'Datos Actividad'!$L144*'FE Sectorial'!$H147*'FE Sectorial'!L147/1000/1000</f>
        <v>160594.39367058824</v>
      </c>
      <c r="L148" s="17">
        <f>'Datos Actividad'!$L144*'FE Sectorial'!$H147*'FE Sectorial'!M147/1000/1000</f>
        <v>133828.66139215685</v>
      </c>
      <c r="M148" s="17">
        <f>'Datos Actividad'!$L144*'FE Sectorial'!$H147*'FE Sectorial'!N147/1000/1000</f>
        <v>26765.732278431369</v>
      </c>
      <c r="N148" s="17">
        <f>'Datos Actividad'!$L144*'FE Sectorial'!$H147*'FE Sectorial'!O147/1000/1000</f>
        <v>4855.1793435294112</v>
      </c>
      <c r="O148" s="87">
        <f>IF(D148&lt;400,H148+I148*'Factores generales'!$M$41+J148*'Factores generales'!$N$41,I148*'Factores generales'!$M$41+J148*'Factores generales'!$N$41)</f>
        <v>9850860.1077538803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Actividad'!$L145*'FE Sectorial'!$H148*'FE Sectorial'!I148*'FE Sectorial'!P148/1000</f>
        <v>85940.156145306129</v>
      </c>
      <c r="I149" s="17">
        <f>'Datos Actividad'!$L145*'FE Sectorial'!$H148*'FE Sectorial'!J148/1000/1000</f>
        <v>3.3646604081632656</v>
      </c>
      <c r="J149" s="17">
        <f>'Datos Actividad'!$L145*'FE Sectorial'!$H148*'FE Sectorial'!K148/1000/1000</f>
        <v>0.67293208163265295</v>
      </c>
      <c r="K149" s="17">
        <f>'Datos Actividad'!$L145*'FE Sectorial'!$H148*'FE Sectorial'!L148/1000/1000</f>
        <v>1345.8641632653059</v>
      </c>
      <c r="L149" s="17">
        <f>'Datos Actividad'!$L145*'FE Sectorial'!$H148*'FE Sectorial'!M148/1000/1000</f>
        <v>1121.5534693877551</v>
      </c>
      <c r="M149" s="17">
        <f>'Datos Actividad'!$L145*'FE Sectorial'!$H148*'FE Sectorial'!N148/1000/1000</f>
        <v>224.31069387755102</v>
      </c>
      <c r="N149" s="17">
        <f>'Datos Actividad'!$L145*'FE Sectorial'!$H148*'FE Sectorial'!O148/1000/1000</f>
        <v>222.08979591836734</v>
      </c>
      <c r="O149" s="87">
        <f>IF(D149&lt;400,H149+I149*'Factores generales'!$M$41+J149*'Factores generales'!$N$41,I149*'Factores generales'!$M$41+J149*'Factores generales'!$N$41)</f>
        <v>86219.422959183692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Actividad'!$L147*'FE Sectorial'!$H150*'FE Sectorial'!I150*'FE Sectorial'!P150/1000</f>
        <v>0</v>
      </c>
      <c r="I151" s="134">
        <f>'Datos Actividad'!$L147*'FE Sectorial'!$H150*'FE Sectorial'!J150/1000/1000</f>
        <v>0</v>
      </c>
      <c r="J151" s="134">
        <f>'Datos Actividad'!$L147*'FE Sectorial'!$H150*'FE Sectorial'!K150/1000/1000</f>
        <v>0</v>
      </c>
      <c r="K151" s="134">
        <f>'Datos Actividad'!$L147*'FE Sectorial'!$H150*'FE Sectorial'!L150/1000/1000</f>
        <v>0</v>
      </c>
      <c r="L151" s="134">
        <f>'Datos Actividad'!$L147*'FE Sectorial'!$H150*'FE Sectorial'!M150/1000/1000</f>
        <v>0</v>
      </c>
      <c r="M151" s="134">
        <f>'Datos Actividad'!$L147*'FE Sectorial'!$H150*'FE Sectorial'!N150/1000/1000</f>
        <v>0</v>
      </c>
      <c r="N151" s="134">
        <f>'Datos Actividad'!$L147*'FE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Actividad'!$L148*'FE Sectorial'!$H151*'FE Sectorial'!I151*'FE Sectorial'!P151/1000</f>
        <v>0</v>
      </c>
      <c r="I152" s="134">
        <f>'Datos Actividad'!$L148*'FE Sectorial'!$H151*'FE Sectorial'!J151/1000/1000</f>
        <v>0</v>
      </c>
      <c r="J152" s="134">
        <f>'Datos Actividad'!$L148*'FE Sectorial'!$H151*'FE Sectorial'!K151/1000/1000</f>
        <v>0</v>
      </c>
      <c r="K152" s="134">
        <f>'Datos Actividad'!$L148*'FE Sectorial'!$H151*'FE Sectorial'!L151/1000/1000</f>
        <v>0</v>
      </c>
      <c r="L152" s="134">
        <f>'Datos Actividad'!$L148*'FE Sectorial'!$H151*'FE Sectorial'!M151/1000/1000</f>
        <v>0</v>
      </c>
      <c r="M152" s="134">
        <f>'Datos Actividad'!$L148*'FE Sectorial'!$H151*'FE Sectorial'!N151/1000/1000</f>
        <v>0</v>
      </c>
      <c r="N152" s="134">
        <f>'Datos Actividad'!$L148*'FE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5325905.030032672</v>
      </c>
      <c r="I153" s="124">
        <f t="shared" ref="I153:N153" si="41">I154+I168</f>
        <v>370732.75324084633</v>
      </c>
      <c r="J153" s="124">
        <f t="shared" si="41"/>
        <v>32.328706417844593</v>
      </c>
      <c r="K153" s="124">
        <f t="shared" si="41"/>
        <v>1633.679550347927</v>
      </c>
      <c r="L153" s="124">
        <f t="shared" si="41"/>
        <v>2613.8727292000003</v>
      </c>
      <c r="M153" s="124">
        <f t="shared" si="41"/>
        <v>118428.93741290562</v>
      </c>
      <c r="N153" s="124">
        <f t="shared" si="41"/>
        <v>26138.727292000003</v>
      </c>
      <c r="O153" s="124">
        <f>IF(D153&lt;400,H153+I153*'Factores generales'!$M$41+J153*'Factores generales'!$N$41,I153*'Factores generales'!$M$41+J153*'Factores generales'!$N$41)</f>
        <v>13121314.747079976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5325905.030032672</v>
      </c>
      <c r="I168" s="129">
        <f t="shared" ref="I168:O168" si="44">I169+I188+I204</f>
        <v>368021.16186048725</v>
      </c>
      <c r="J168" s="129">
        <f t="shared" si="44"/>
        <v>32.328706417844593</v>
      </c>
      <c r="K168" s="129">
        <f t="shared" si="44"/>
        <v>1633.679550347927</v>
      </c>
      <c r="L168" s="129">
        <f t="shared" si="44"/>
        <v>2613.8727292000003</v>
      </c>
      <c r="M168" s="129">
        <f t="shared" si="44"/>
        <v>118428.93741290562</v>
      </c>
      <c r="N168" s="129">
        <f t="shared" si="44"/>
        <v>26138.727292000003</v>
      </c>
      <c r="O168" s="129">
        <f t="shared" si="44"/>
        <v>13064371.328092437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41530.10830490548</v>
      </c>
      <c r="I169" s="134">
        <f t="shared" ref="I169:O169" si="45">SUM(I170:I187)</f>
        <v>13390.898787677208</v>
      </c>
      <c r="J169" s="134">
        <f t="shared" si="45"/>
        <v>0.28635019329485356</v>
      </c>
      <c r="K169" s="134">
        <f t="shared" si="45"/>
        <v>1633.679550347927</v>
      </c>
      <c r="L169" s="134">
        <f t="shared" si="45"/>
        <v>2613.8727292000003</v>
      </c>
      <c r="M169" s="134">
        <f t="shared" si="45"/>
        <v>68542.818953689799</v>
      </c>
      <c r="N169" s="134">
        <f t="shared" si="45"/>
        <v>26138.727292000003</v>
      </c>
      <c r="O169" s="134">
        <f t="shared" si="45"/>
        <v>322827.75140604825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Actividad'!$L167*'FE Sectorial'!I170*1000</f>
        <v>1263.5234407526996</v>
      </c>
      <c r="I171" s="92">
        <f>'Datos Actividad'!$L167*'FE Sectorial'!J170*1000</f>
        <v>26.830069837605407</v>
      </c>
      <c r="J171" s="92">
        <f>'Datos Actividad'!$L167*'FE Sectorial'!K170*1000</f>
        <v>9.2988601452005937E-3</v>
      </c>
      <c r="K171" s="92">
        <f>'Datos Actividad'!$L167*'FE Sectorial'!L170*1000</f>
        <v>0</v>
      </c>
      <c r="L171" s="92">
        <f>'Datos Actividad'!$L167*'FE Sectorial'!M170*1000</f>
        <v>0</v>
      </c>
      <c r="M171" s="92">
        <f>'Datos Actividad'!$L167*'FE Sectorial'!N170*1000</f>
        <v>4.1342309000460489</v>
      </c>
      <c r="N171" s="92">
        <f>'Datos Actividad'!$L167*'FE Sectorial'!O170*1000</f>
        <v>0</v>
      </c>
      <c r="O171" s="87">
        <f>IF(D171&lt;400,H171+I171*'Factores generales'!$M$41+J171*'Factores generales'!$N$41,I171*'Factores generales'!$M$41+J171*'Factores generales'!$N$41)</f>
        <v>1829.8375539874253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Actividad'!$L168*'FE Sectorial'!I171*1000</f>
        <v>2972.9963311828228</v>
      </c>
      <c r="I172" s="92">
        <f>'Datos Actividad'!$L168*'FE Sectorial'!J171*1000</f>
        <v>63.129576088483311</v>
      </c>
      <c r="J172" s="92">
        <f>'Datos Actividad'!$L168*'FE Sectorial'!K171*1000</f>
        <v>2.1879670929883747E-2</v>
      </c>
      <c r="K172" s="92">
        <f>'Datos Actividad'!$L168*'FE Sectorial'!L171*1000</f>
        <v>0</v>
      </c>
      <c r="L172" s="92">
        <f>'Datos Actividad'!$L168*'FE Sectorial'!M171*1000</f>
        <v>0</v>
      </c>
      <c r="M172" s="92">
        <f>'Datos Actividad'!$L168*'FE Sectorial'!N171*1000</f>
        <v>9.7276021177554099</v>
      </c>
      <c r="N172" s="92">
        <f>'Datos Actividad'!$L168*'FE Sectorial'!O171*1000</f>
        <v>0</v>
      </c>
      <c r="O172" s="87">
        <f>IF(D172&lt;400,H172+I172*'Factores generales'!$M$41+J172*'Factores generales'!$N$41,I172*'Factores generales'!$M$41+J172*'Factores generales'!$N$41)</f>
        <v>4305.500127029236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Actividad'!$L169*'FE Sectorial'!I172*1000</f>
        <v>34672.569712419674</v>
      </c>
      <c r="I173" s="92">
        <f>'Datos Actividad'!$L169*'FE Sectorial'!J172*1000</f>
        <v>736.24868113193668</v>
      </c>
      <c r="J173" s="92">
        <f>'Datos Actividad'!$L169*'FE Sectorial'!K172*1000</f>
        <v>0.25517166221976922</v>
      </c>
      <c r="K173" s="92">
        <f>'Datos Actividad'!$L169*'FE Sectorial'!L172*1000</f>
        <v>0</v>
      </c>
      <c r="L173" s="92">
        <f>'Datos Actividad'!$L169*'FE Sectorial'!M172*1000</f>
        <v>0</v>
      </c>
      <c r="M173" s="92">
        <f>'Datos Actividad'!$L169*'FE Sectorial'!N172*1000</f>
        <v>113.44815969832246</v>
      </c>
      <c r="N173" s="92">
        <f>'Datos Actividad'!$L169*'FE Sectorial'!O172*1000</f>
        <v>0</v>
      </c>
      <c r="O173" s="87">
        <f>IF(D173&lt;400,H173+I173*'Factores generales'!$M$41+J173*'Factores generales'!$N$41,I173*'Factores generales'!$M$41+J173*'Factores generales'!$N$41)</f>
        <v>50212.895231478476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Actividad'!$L171*'FE Sectorial'!I174</f>
        <v>833.97766245746459</v>
      </c>
      <c r="I175" s="92">
        <f>'Datos Actividad'!$L171*'FE Sectorial'!J174</f>
        <v>11503.900132199995</v>
      </c>
      <c r="J175" s="92">
        <f>'Datos Actividad'!$L171*'FE Sectorial'!K174</f>
        <v>0</v>
      </c>
      <c r="K175" s="92">
        <f>'Datos Actividad'!$L171*'FE Sectorial'!L174</f>
        <v>0</v>
      </c>
      <c r="L175" s="92">
        <f>'Datos Actividad'!$L171*'FE Sectorial'!M174</f>
        <v>0</v>
      </c>
      <c r="M175" s="92">
        <f>'Datos Actividad'!$L171*'FE Sectorial'!N174</f>
        <v>14089.342687912969</v>
      </c>
      <c r="N175" s="92">
        <f>'Datos Actividad'!$L171*'FE Sectorial'!O174</f>
        <v>0</v>
      </c>
      <c r="O175" s="87">
        <f>IF(D175&lt;400,H175+I175*'Factores generales'!$M$41+J175*'Factores generales'!$N$41,I175*'Factores generales'!$M$41+J175*'Factores generales'!$N$41)</f>
        <v>242415.88043865736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Actividad'!$L173*'FE Sectorial'!I176</f>
        <v>0</v>
      </c>
      <c r="I177" s="92">
        <f>'Datos Actividad'!$L173*'FE Sectorial'!J176</f>
        <v>530.98373921503003</v>
      </c>
      <c r="J177" s="92">
        <f>'Datos Actividad'!$L173*'FE Sectorial'!K176</f>
        <v>0</v>
      </c>
      <c r="K177" s="92">
        <f>'Datos Actividad'!$L173*'FE Sectorial'!L176</f>
        <v>0</v>
      </c>
      <c r="L177" s="92">
        <f>'Datos Actividad'!$L173*'FE Sectorial'!M176</f>
        <v>0</v>
      </c>
      <c r="M177" s="92">
        <f>'Datos Actividad'!$L173*'FE Sectorial'!N176</f>
        <v>0</v>
      </c>
      <c r="N177" s="92">
        <f>'Datos Actividad'!$L173*'FE Sectorial'!O176</f>
        <v>0</v>
      </c>
      <c r="O177" s="87">
        <f>IF(D177&lt;400,H177+I177*'Factores generales'!$M$41+J177*'Factores generales'!$N$41,I177*'Factores generales'!$M$41+J177*'Factores generales'!$N$41)</f>
        <v>11150.658523515631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Actividad'!$L174*'FE Sectorial'!I177</f>
        <v>9.4606541941099955</v>
      </c>
      <c r="I178" s="92">
        <f>'Datos Actividad'!$L174*'FE Sectorial'!J177</f>
        <v>104.26027071059997</v>
      </c>
      <c r="J178" s="92">
        <f>'Datos Actividad'!$L174*'FE Sectorial'!K177</f>
        <v>0</v>
      </c>
      <c r="K178" s="92">
        <f>'Datos Actividad'!$L174*'FE Sectorial'!L177</f>
        <v>0</v>
      </c>
      <c r="L178" s="92">
        <f>'Datos Actividad'!$L174*'FE Sectorial'!M177</f>
        <v>0</v>
      </c>
      <c r="M178" s="92">
        <f>'Datos Actividad'!$L174*'FE Sectorial'!N177</f>
        <v>1042.6027071059998</v>
      </c>
      <c r="N178" s="92">
        <f>'Datos Actividad'!$L174*'FE Sectorial'!O177</f>
        <v>0</v>
      </c>
      <c r="O178" s="87">
        <f>IF(D178&lt;400,H178+I178*'Factores generales'!$M$41+J178*'Factores generales'!$N$41,I178*'Factores generales'!$M$41+J178*'Factores generales'!$N$41)</f>
        <v>2198.9263391167092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Actividad'!$L177*'FE Sectorial'!I180</f>
        <v>0</v>
      </c>
      <c r="I181" s="92">
        <f>'Datos Actividad'!$L177*'FE Sectorial'!J180</f>
        <v>337.3440488532608</v>
      </c>
      <c r="J181" s="92">
        <f>'Datos Actividad'!$L177*'FE Sectorial'!K180</f>
        <v>0</v>
      </c>
      <c r="K181" s="92">
        <f>'Datos Actividad'!$L177*'FE Sectorial'!L180</f>
        <v>1633.6704557500002</v>
      </c>
      <c r="L181" s="92">
        <f>'Datos Actividad'!$L177*'FE Sectorial'!M180</f>
        <v>2613.8727292000003</v>
      </c>
      <c r="M181" s="92">
        <f>'Datos Actividad'!$L177*'FE Sectorial'!N180</f>
        <v>42475.431849500004</v>
      </c>
      <c r="N181" s="92">
        <f>'Datos Actividad'!$L177*'FE Sectorial'!O180</f>
        <v>26138.727292000003</v>
      </c>
      <c r="O181" s="87">
        <f>IF(D181&lt;400,H181+I181*'Factores generales'!$M$41+J181*'Factores generales'!$N$41,I181*'Factores generales'!$M$41+J181*'Factores generales'!$N$41)</f>
        <v>7084.2250259184766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Actividad'!$L179*'FE Sectorial'!I182</f>
        <v>0</v>
      </c>
      <c r="I183" s="92">
        <f>'Datos Actividad'!$L179*'FE Sectorial'!J182</f>
        <v>88.20226964029699</v>
      </c>
      <c r="J183" s="92">
        <f>'Datos Actividad'!$L179*'FE Sectorial'!K182</f>
        <v>0</v>
      </c>
      <c r="K183" s="92">
        <f>'Datos Actividad'!$L179*'FE Sectorial'!L182</f>
        <v>0</v>
      </c>
      <c r="L183" s="92">
        <f>'Datos Actividad'!$L179*'FE Sectorial'!M182</f>
        <v>0</v>
      </c>
      <c r="M183" s="92">
        <f>'Datos Actividad'!$L179*'FE Sectorial'!N182</f>
        <v>0</v>
      </c>
      <c r="N183" s="92">
        <f>'Datos Actividad'!$L179*'FE Sectorial'!O182</f>
        <v>0</v>
      </c>
      <c r="O183" s="87">
        <f>IF(D183&lt;400,H183+I183*'Factores generales'!$M$41+J183*'Factores generales'!$N$41,I183*'Factores generales'!$M$41+J183*'Factores generales'!$N$41)</f>
        <v>1852.2476624462367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Actividad'!$L181*'FE Sectorial'!I184</f>
        <v>0</v>
      </c>
      <c r="I185" s="92">
        <f>'Datos Actividad'!$L181*'FE Sectorial'!J184</f>
        <v>0</v>
      </c>
      <c r="J185" s="92">
        <f>'Datos Actividad'!$L181*'FE Sectorial'!K184</f>
        <v>0</v>
      </c>
      <c r="K185" s="92">
        <f>'Datos Actividad'!$L181*'FE Sectorial'!L184</f>
        <v>0</v>
      </c>
      <c r="L185" s="92">
        <f>'Datos Actividad'!$L181*'FE Sectorial'!M184</f>
        <v>0</v>
      </c>
      <c r="M185" s="92">
        <f>'Datos Actividad'!$L181*'FE Sectorial'!N184</f>
        <v>10808.131716454698</v>
      </c>
      <c r="N185" s="92">
        <f>'Datos Actividad'!$L181*'FE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Actividad'!$L182*'FE Sectorial'!I185</f>
        <v>1777.5805038987098</v>
      </c>
      <c r="I186" s="92">
        <f>'Datos Actividad'!$L182*'FE Sectorial'!J185</f>
        <v>0</v>
      </c>
      <c r="J186" s="92">
        <f>'Datos Actividad'!$L182*'FE Sectorial'!K185</f>
        <v>0</v>
      </c>
      <c r="K186" s="92">
        <f>'Datos Actividad'!$L182*'FE Sectorial'!L185</f>
        <v>9.0945979269236327E-3</v>
      </c>
      <c r="L186" s="92">
        <f>'Datos Actividad'!$L182*'FE Sectorial'!M185</f>
        <v>0</v>
      </c>
      <c r="M186" s="92">
        <f>'Datos Actividad'!$L182*'FE Sectorial'!N185</f>
        <v>0</v>
      </c>
      <c r="N186" s="92">
        <f>'Datos Actividad'!$L182*'FE Sectorial'!O185</f>
        <v>0</v>
      </c>
      <c r="O186" s="87">
        <f>IF(D186&lt;400,H186+I186*'Factores generales'!$M$41+J186*'Factores generales'!$N$41,I186*'Factores generales'!$M$41+J186*'Factores generales'!$N$41)</f>
        <v>1777.5805038987098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6135.4809929882258</v>
      </c>
      <c r="I188" s="134">
        <f t="shared" ref="I188:O188" si="46">SUM(I189:I203)</f>
        <v>313318.41639181116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29189.25035663625</v>
      </c>
      <c r="N188" s="134">
        <f t="shared" si="46"/>
        <v>0</v>
      </c>
      <c r="O188" s="134">
        <f t="shared" si="46"/>
        <v>6585822.225221023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Actividad'!$L187*'FE Sectorial'!I190</f>
        <v>2592.5972867230389</v>
      </c>
      <c r="I191" s="92">
        <f>'Datos Actividad'!$L187*'FE Sectorial'!J190</f>
        <v>155966.81767445011</v>
      </c>
      <c r="J191" s="92">
        <f>'Datos Actividad'!$L187*'FE Sectorial'!K190</f>
        <v>0</v>
      </c>
      <c r="K191" s="92">
        <f>'Datos Actividad'!$L187*'FE Sectorial'!L190</f>
        <v>0</v>
      </c>
      <c r="L191" s="92">
        <f>'Datos Actividad'!$L187*'FE Sectorial'!M190</f>
        <v>0</v>
      </c>
      <c r="M191" s="92">
        <f>'Datos Actividad'!$L187*'FE Sectorial'!N190</f>
        <v>17066.564679181691</v>
      </c>
      <c r="N191" s="92">
        <f>'Datos Actividad'!$L187*'FE Sectorial'!O190</f>
        <v>0</v>
      </c>
      <c r="O191" s="87">
        <f>IF(D191&lt;400,H191+I191*'Factores generales'!$M$41+J191*'Factores generales'!$N$41,I191*'Factores generales'!$M$41+J191*'Factores generales'!$N$41)</f>
        <v>3277895.7684501754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Actividad'!$L189*'FE Sectorial'!I192</f>
        <v>946.68267764326492</v>
      </c>
      <c r="I193" s="92">
        <f>'Datos Actividad'!$L189*'FE Sectorial'!J192</f>
        <v>11833.533470540813</v>
      </c>
      <c r="J193" s="92">
        <f>'Datos Actividad'!$L189*'FE Sectorial'!K192</f>
        <v>0</v>
      </c>
      <c r="K193" s="92">
        <f>'Datos Actividad'!$L189*'FE Sectorial'!L192</f>
        <v>0</v>
      </c>
      <c r="L193" s="92">
        <f>'Datos Actividad'!$L189*'FE Sectorial'!M192</f>
        <v>0</v>
      </c>
      <c r="M193" s="92">
        <f>'Datos Actividad'!$L189*'FE Sectorial'!N192</f>
        <v>10931.349975489895</v>
      </c>
      <c r="N193" s="92">
        <f>'Datos Actividad'!$L189*'FE Sectorial'!O192</f>
        <v>0</v>
      </c>
      <c r="O193" s="87">
        <f>IF(D193&lt;400,H193+I193*'Factores generales'!$M$41+J193*'Factores generales'!$N$41,I193*'Factores generales'!$M$41+J193*'Factores generales'!$N$41)</f>
        <v>249450.88555900034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Actividad'!$L192*'FE Sectorial'!I195</f>
        <v>63.42842699081914</v>
      </c>
      <c r="I196" s="92">
        <f>'Datos Actividad'!$L192*'FE Sectorial'!J195</f>
        <v>19735.276591618651</v>
      </c>
      <c r="J196" s="92">
        <f>'Datos Actividad'!$L192*'FE Sectorial'!K195</f>
        <v>0</v>
      </c>
      <c r="K196" s="92">
        <f>'Datos Actividad'!$L192*'FE Sectorial'!L195</f>
        <v>0</v>
      </c>
      <c r="L196" s="92">
        <f>'Datos Actividad'!$L192*'FE Sectorial'!M195</f>
        <v>0</v>
      </c>
      <c r="M196" s="92">
        <f>'Datos Actividad'!$L192*'FE Sectorial'!N195</f>
        <v>471.95574196466453</v>
      </c>
      <c r="N196" s="92">
        <f>'Datos Actividad'!$L192*'FE Sectorial'!O195</f>
        <v>0</v>
      </c>
      <c r="O196" s="87">
        <f>IF(D196&lt;400,H196+I196*'Factores generales'!$M$41+J196*'Factores generales'!$N$41,I196*'Factores generales'!$M$41+J196*'Factores generales'!$N$41)</f>
        <v>414504.23685098247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Actividad'!$L194*'FE Sectorial'!I197</f>
        <v>2532.772601631103</v>
      </c>
      <c r="I198" s="92">
        <f>'Datos Actividad'!$L194*'FE Sectorial'!J197</f>
        <v>49706.529354601589</v>
      </c>
      <c r="J198" s="92">
        <f>'Datos Actividad'!$L194*'FE Sectorial'!K197</f>
        <v>0</v>
      </c>
      <c r="K198" s="92">
        <f>'Datos Actividad'!$L194*'FE Sectorial'!L197</f>
        <v>0</v>
      </c>
      <c r="L198" s="92">
        <f>'Datos Actividad'!$L194*'FE Sectorial'!M197</f>
        <v>0</v>
      </c>
      <c r="M198" s="92">
        <f>'Datos Actividad'!$L194*'FE Sectorial'!N197</f>
        <v>719.3799600000001</v>
      </c>
      <c r="N198" s="92">
        <f>'Datos Actividad'!$L194*'FE Sectorial'!O197</f>
        <v>0</v>
      </c>
      <c r="O198" s="87">
        <f>IF(D198&lt;400,H198+I198*'Factores generales'!$M$41+J198*'Factores generales'!$N$41,I198*'Factores generales'!$M$41+J198*'Factores generales'!$N$41)</f>
        <v>1046369.8890482645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Actividad'!$L197*'FE Sectorial'!I200</f>
        <v>0</v>
      </c>
      <c r="I201" s="92">
        <f>'Datos Actividad'!$L197*'FE Sectorial'!J200</f>
        <v>62008.890278999999</v>
      </c>
      <c r="J201" s="92">
        <f>'Datos Actividad'!$L197*'FE Sectorial'!K200</f>
        <v>0</v>
      </c>
      <c r="K201" s="92">
        <f>'Datos Actividad'!$L197*'FE Sectorial'!L200</f>
        <v>0</v>
      </c>
      <c r="L201" s="92">
        <f>'Datos Actividad'!$L197*'FE Sectorial'!M200</f>
        <v>0</v>
      </c>
      <c r="M201" s="92">
        <f>'Datos Actividad'!$L197*'FE Sectorial'!N200</f>
        <v>0</v>
      </c>
      <c r="N201" s="92">
        <f>'Datos Actividad'!$L197*'FE Sectorial'!O200</f>
        <v>0</v>
      </c>
      <c r="O201" s="87">
        <f>IF(D201&lt;400,H201+I201*'Factores generales'!$M$41+J201*'Factores generales'!$N$41,I201*'Factores generales'!$M$41+J201*'Factores generales'!$N$41)</f>
        <v>1302186.6958590001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Actividad'!$L199*'FE Sectorial'!I202</f>
        <v>0</v>
      </c>
      <c r="I203" s="92">
        <f>'Datos Actividad'!$L199*'FE Sectorial'!J202</f>
        <v>14067.3690216</v>
      </c>
      <c r="J203" s="92">
        <f>'Datos Actividad'!$L199*'FE Sectorial'!K202</f>
        <v>0</v>
      </c>
      <c r="K203" s="92">
        <f>'Datos Actividad'!$L199*'FE Sectorial'!L202</f>
        <v>0</v>
      </c>
      <c r="L203" s="92">
        <f>'Datos Actividad'!$L199*'FE Sectorial'!M202</f>
        <v>0</v>
      </c>
      <c r="M203" s="92">
        <f>'Datos Actividad'!$L199*'FE Sectorial'!N202</f>
        <v>0</v>
      </c>
      <c r="N203" s="92">
        <f>'Datos Actividad'!$L199*'FE Sectorial'!O202</f>
        <v>0</v>
      </c>
      <c r="O203" s="87">
        <f>IF(D203&lt;400,H203+I203*'Factores generales'!$M$41+J203*'Factores generales'!$N$41,I203*'Factores generales'!$M$41+J203*'Factores generales'!$N$41)</f>
        <v>295414.74945359997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5278239.4407347785</v>
      </c>
      <c r="I204" s="134">
        <f t="shared" ref="I204:O204" si="47">SUM(I205:I221)</f>
        <v>41311.846680998839</v>
      </c>
      <c r="J204" s="134">
        <f t="shared" si="47"/>
        <v>32.042356224549742</v>
      </c>
      <c r="K204" s="134">
        <f t="shared" si="47"/>
        <v>0</v>
      </c>
      <c r="L204" s="134">
        <f t="shared" si="47"/>
        <v>0</v>
      </c>
      <c r="M204" s="134">
        <f t="shared" si="47"/>
        <v>20696.868102579578</v>
      </c>
      <c r="N204" s="134">
        <f t="shared" si="47"/>
        <v>0</v>
      </c>
      <c r="O204" s="134">
        <f t="shared" si="47"/>
        <v>6155721.3514653658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Actividad'!$L203*'FE Sectorial'!I206</f>
        <v>4261.4493105927713</v>
      </c>
      <c r="I207" s="92">
        <f>'Datos Actividad'!$L203*'FE Sectorial'!J206</f>
        <v>32374.844687703418</v>
      </c>
      <c r="J207" s="92">
        <f>'Datos Actividad'!$L203*'FE Sectorial'!K206</f>
        <v>0</v>
      </c>
      <c r="K207" s="92">
        <f>'Datos Actividad'!$L203*'FE Sectorial'!L206</f>
        <v>0</v>
      </c>
      <c r="L207" s="92">
        <f>'Datos Actividad'!$L203*'FE Sectorial'!M206</f>
        <v>0</v>
      </c>
      <c r="M207" s="92">
        <f>'Datos Actividad'!$L203*'FE Sectorial'!N206</f>
        <v>19314.527209802705</v>
      </c>
      <c r="N207" s="92">
        <f>'Datos Actividad'!$L203*'FE Sectorial'!O206</f>
        <v>0</v>
      </c>
      <c r="O207" s="87">
        <f>IF(D207&lt;400,H207+I207*'Factores generales'!$M$41+J207*'Factores generales'!$N$41,I207*'Factores generales'!$M$41+J207*'Factores generales'!$N$41)</f>
        <v>684133.18775236455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Actividad'!$L205*'FE Sectorial'!I208</f>
        <v>1837425.7146155592</v>
      </c>
      <c r="I209" s="92">
        <f>'Datos Actividad'!$L205*'FE Sectorial'!J208</f>
        <v>1117.978137899378</v>
      </c>
      <c r="J209" s="92">
        <f>'Datos Actividad'!$L205*'FE Sectorial'!K208</f>
        <v>28.777639722403041</v>
      </c>
      <c r="K209" s="92">
        <f>'Datos Actividad'!$L205*'FE Sectorial'!L208</f>
        <v>0</v>
      </c>
      <c r="L209" s="92">
        <f>'Datos Actividad'!$L205*'FE Sectorial'!M208</f>
        <v>0</v>
      </c>
      <c r="M209" s="92">
        <f>'Datos Actividad'!$L205*'FE Sectorial'!N208</f>
        <v>946.30796264713456</v>
      </c>
      <c r="N209" s="92">
        <f>'Datos Actividad'!$L205*'FE Sectorial'!O208</f>
        <v>0</v>
      </c>
      <c r="O209" s="87">
        <f>IF(D209&lt;400,H209+I209*'Factores generales'!$M$41+J209*'Factores generales'!$N$41,I209*'Factores generales'!$M$41+J209*'Factores generales'!$N$41)</f>
        <v>1869824.323825391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Actividad'!$L209*'FE Sectorial'!I212</f>
        <v>3183659.3342341641</v>
      </c>
      <c r="I213" s="92">
        <f>'Datos Actividad'!$L209*'FE Sectorial'!J212</f>
        <v>0</v>
      </c>
      <c r="J213" s="92">
        <f>'Datos Actividad'!$L209*'FE Sectorial'!K212</f>
        <v>0</v>
      </c>
      <c r="K213" s="92">
        <f>'Datos Actividad'!$L209*'FE Sectorial'!L212</f>
        <v>0</v>
      </c>
      <c r="L213" s="92">
        <f>'Datos Actividad'!$L209*'FE Sectorial'!M212</f>
        <v>0</v>
      </c>
      <c r="M213" s="92">
        <f>'Datos Actividad'!$L209*'FE Sectorial'!N212</f>
        <v>0</v>
      </c>
      <c r="N213" s="92">
        <f>'Datos Actividad'!$L209*'FE Sectorial'!O212</f>
        <v>0</v>
      </c>
      <c r="O213" s="87">
        <f>IF(D213&lt;400,H213+I213*'Factores generales'!$M$41+J213*'Factores generales'!$N$41,I213*'Factores generales'!$M$41+J213*'Factores generales'!$N$41)</f>
        <v>3183659.3342341641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Actividad'!$L211*'FE Sectorial'!I214</f>
        <v>201.72641730110647</v>
      </c>
      <c r="I215" s="92">
        <f>'Datos Actividad'!$L211*'FE Sectorial'!J214</f>
        <v>7651.7839051563697</v>
      </c>
      <c r="J215" s="92">
        <f>'Datos Actividad'!$L211*'FE Sectorial'!K214</f>
        <v>0</v>
      </c>
      <c r="K215" s="92">
        <f>'Datos Actividad'!$L211*'FE Sectorial'!L214</f>
        <v>0</v>
      </c>
      <c r="L215" s="92">
        <f>'Datos Actividad'!$L211*'FE Sectorial'!M214</f>
        <v>0</v>
      </c>
      <c r="M215" s="92">
        <f>'Datos Actividad'!$L211*'FE Sectorial'!N214</f>
        <v>301.64474019115369</v>
      </c>
      <c r="N215" s="92">
        <f>'Datos Actividad'!$L211*'FE Sectorial'!O214</f>
        <v>0</v>
      </c>
      <c r="O215" s="87">
        <f>IF(D215&lt;400,H215+I215*'Factores generales'!$M$41+J215*'Factores generales'!$N$41,I215*'Factores generales'!$M$41+J215*'Factores generales'!$N$41)</f>
        <v>160889.18842558487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Actividad'!$L214*'FE Sectorial'!I217</f>
        <v>71562.483872480152</v>
      </c>
      <c r="I218" s="92">
        <f>'Datos Actividad'!$L214*'FE Sectorial'!J217</f>
        <v>45.023742084496533</v>
      </c>
      <c r="J218" s="92">
        <f>'Datos Actividad'!$L214*'FE Sectorial'!K217</f>
        <v>1.2745105597920925</v>
      </c>
      <c r="K218" s="92">
        <f>'Datos Actividad'!$L214*'FE Sectorial'!L217</f>
        <v>0</v>
      </c>
      <c r="L218" s="92">
        <f>'Datos Actividad'!$L214*'FE Sectorial'!M217</f>
        <v>0</v>
      </c>
      <c r="M218" s="92">
        <f>'Datos Actividad'!$L214*'FE Sectorial'!N217</f>
        <v>37.492128720055085</v>
      </c>
      <c r="N218" s="92">
        <f>'Datos Actividad'!$L214*'FE Sectorial'!O217</f>
        <v>0</v>
      </c>
      <c r="O218" s="87">
        <f>IF(D218&lt;400,H218+I218*'Factores generales'!$M$41+J218*'Factores generales'!$N$41,I218*'Factores generales'!$M$41+J218*'Factores generales'!$N$41)</f>
        <v>72903.080729790134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Actividad'!$L216*'FE Sectorial'!I219</f>
        <v>181128.73228468196</v>
      </c>
      <c r="I220" s="92">
        <f>'Datos Actividad'!$L216*'FE Sectorial'!J219</f>
        <v>122.21620815518031</v>
      </c>
      <c r="J220" s="92">
        <f>'Datos Actividad'!$L216*'FE Sectorial'!K219</f>
        <v>1.9902059423546066</v>
      </c>
      <c r="K220" s="92">
        <f>'Datos Actividad'!$L216*'FE Sectorial'!L219</f>
        <v>0</v>
      </c>
      <c r="L220" s="92">
        <f>'Datos Actividad'!$L216*'FE Sectorial'!M219</f>
        <v>0</v>
      </c>
      <c r="M220" s="92">
        <f>'Datos Actividad'!$L216*'FE Sectorial'!N219</f>
        <v>96.896061218528388</v>
      </c>
      <c r="N220" s="92">
        <f>'Datos Actividad'!$L216*'FE Sectorial'!O219</f>
        <v>0</v>
      </c>
      <c r="O220" s="87">
        <f>IF(D220&lt;400,H220+I220*'Factores generales'!$M$41+J220*'Factores generales'!$N$41,I220*'Factores generales'!$M$41+J220*'Factores generales'!$N$41)</f>
        <v>184312.23649807065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10633993.559863323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4455069.8583941991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2143103.4056532392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2311966.4527409598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143574703.0346401</v>
      </c>
      <c r="I5" s="138">
        <f t="shared" si="0"/>
        <v>387576.16069207556</v>
      </c>
      <c r="J5" s="138">
        <f t="shared" si="0"/>
        <v>3488.9837295369202</v>
      </c>
      <c r="K5" s="138">
        <f t="shared" si="0"/>
        <v>852977.81909447629</v>
      </c>
      <c r="L5" s="138">
        <f t="shared" si="0"/>
        <v>2158763.3231736715</v>
      </c>
      <c r="M5" s="138">
        <f t="shared" si="0"/>
        <v>438161.19642551162</v>
      </c>
      <c r="N5" s="138">
        <f t="shared" si="0"/>
        <v>78966.986954015141</v>
      </c>
      <c r="O5" s="138">
        <f t="shared" si="0"/>
        <v>152795387.36533019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138265052.21789068</v>
      </c>
      <c r="I6" s="124">
        <f t="shared" si="1"/>
        <v>22942.548501110476</v>
      </c>
      <c r="J6" s="124">
        <f t="shared" si="1"/>
        <v>3456.5238452484896</v>
      </c>
      <c r="K6" s="124">
        <f t="shared" si="1"/>
        <v>851428.00505494233</v>
      </c>
      <c r="L6" s="124">
        <f t="shared" si="1"/>
        <v>2156283.6312518315</v>
      </c>
      <c r="M6" s="124">
        <f t="shared" si="1"/>
        <v>322026.01234584616</v>
      </c>
      <c r="N6" s="124">
        <f t="shared" si="1"/>
        <v>54170.067735615143</v>
      </c>
      <c r="O6" s="124">
        <f t="shared" si="1"/>
        <v>139818368.12844107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39809059.140856281</v>
      </c>
      <c r="I7" s="129">
        <f t="shared" si="2"/>
        <v>801.86475166735772</v>
      </c>
      <c r="J7" s="129">
        <f t="shared" si="2"/>
        <v>125.66922463923613</v>
      </c>
      <c r="K7" s="129">
        <f t="shared" si="2"/>
        <v>107486.54026728557</v>
      </c>
      <c r="L7" s="129">
        <f t="shared" si="2"/>
        <v>13219.62813370939</v>
      </c>
      <c r="M7" s="129">
        <f t="shared" si="2"/>
        <v>3383.1755584172852</v>
      </c>
      <c r="N7" s="129">
        <f t="shared" si="2"/>
        <v>27271.033284446901</v>
      </c>
      <c r="O7" s="129">
        <f t="shared" si="2"/>
        <v>39864855.760279462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27316999.321442954</v>
      </c>
      <c r="I8" s="134">
        <f t="shared" si="3"/>
        <v>559.97989653599996</v>
      </c>
      <c r="J8" s="134">
        <f t="shared" si="3"/>
        <v>92.925082833600001</v>
      </c>
      <c r="K8" s="134">
        <f t="shared" si="3"/>
        <v>73950.3191104</v>
      </c>
      <c r="L8" s="134">
        <f t="shared" si="3"/>
        <v>8966.1857857200011</v>
      </c>
      <c r="M8" s="134">
        <f t="shared" si="3"/>
        <v>2303.5856726800002</v>
      </c>
      <c r="N8" s="134">
        <f t="shared" si="3"/>
        <v>24238.356600000003</v>
      </c>
      <c r="O8" s="134">
        <f t="shared" si="3"/>
        <v>27357565.674948625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27316999.321442954</v>
      </c>
      <c r="I9" s="93">
        <f t="shared" ref="I9:O9" si="4">I10+I11+I12+I13+I14</f>
        <v>559.97989653599996</v>
      </c>
      <c r="J9" s="93">
        <f t="shared" si="4"/>
        <v>92.925082833600001</v>
      </c>
      <c r="K9" s="93">
        <f t="shared" si="4"/>
        <v>73950.3191104</v>
      </c>
      <c r="L9" s="93">
        <f t="shared" si="4"/>
        <v>8966.1857857200011</v>
      </c>
      <c r="M9" s="93">
        <f t="shared" si="4"/>
        <v>2303.5856726800002</v>
      </c>
      <c r="N9" s="93">
        <f t="shared" si="4"/>
        <v>24238.356600000003</v>
      </c>
      <c r="O9" s="93">
        <f t="shared" si="4"/>
        <v>27357565.674948625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Actividad'!$M6*'FE Sectorial'!$H9*'FE Sectorial'!I9*'FE Sectorial'!$P9/1000</f>
        <v>1459335.0954336</v>
      </c>
      <c r="I10" s="92">
        <f>'Datos Actividad'!$M6*'FE Sectorial'!$H9*'FE Sectorial'!J9/1000/1000</f>
        <v>15.741199200000001</v>
      </c>
      <c r="J10" s="92">
        <f>'Datos Actividad'!$M6*'FE Sectorial'!$H9*'FE Sectorial'!K9/1000/1000</f>
        <v>23.611798800000003</v>
      </c>
      <c r="K10" s="92">
        <f>'Datos Actividad'!$M6*'FE Sectorial'!$H9*'FE Sectorial'!L9/1000/1000</f>
        <v>4722.3597599999994</v>
      </c>
      <c r="L10" s="92">
        <f>'Datos Actividad'!$M6*'FE Sectorial'!$H9*'FE Sectorial'!M9/1000/1000</f>
        <v>314.823984</v>
      </c>
      <c r="M10" s="92">
        <f>'Datos Actividad'!$M6*'FE Sectorial'!$H9*'FE Sectorial'!N9/1000/1000</f>
        <v>78.705995999999999</v>
      </c>
      <c r="N10" s="92">
        <f>'Datos Actividad'!$M6*'FE Sectorial'!$H9*'FE Sectorial'!O9/1000/1000</f>
        <v>15070.062800000003</v>
      </c>
      <c r="O10" s="92">
        <f>IF(D10&lt;400,H10+I10*'Factores generales'!$M$41+J10*'Factores generales'!$N$41,I10*'Factores generales'!$M$41+J10*'Factores generales'!$N$41)</f>
        <v>1466985.3182448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Actividad'!$M7*'FE Sectorial'!$H10*'FE Sectorial'!I10*'FE Sectorial'!$P10/1000</f>
        <v>299214.12163499999</v>
      </c>
      <c r="I11" s="17">
        <f>'Datos Actividad'!$M7*'FE Sectorial'!$H10*'FE Sectorial'!J10/1000/1000</f>
        <v>12.236295</v>
      </c>
      <c r="J11" s="17">
        <f>'Datos Actividad'!$M7*'FE Sectorial'!$H10*'FE Sectorial'!K10/1000/1000</f>
        <v>2.4472589999999999</v>
      </c>
      <c r="K11" s="17">
        <f>'Datos Actividad'!$M7*'FE Sectorial'!$H10*'FE Sectorial'!L10/1000/1000</f>
        <v>815.75300000000004</v>
      </c>
      <c r="L11" s="17">
        <f>'Datos Actividad'!$M7*'FE Sectorial'!$H10*'FE Sectorial'!M10/1000/1000</f>
        <v>61.181474999999999</v>
      </c>
      <c r="M11" s="17">
        <f>'Datos Actividad'!$M7*'FE Sectorial'!$H10*'FE Sectorial'!N10/1000/1000</f>
        <v>20.393825</v>
      </c>
      <c r="N11" s="17">
        <f>'Datos Actividad'!$M7*'FE Sectorial'!$H10*'FE Sectorial'!O10/1000/1000</f>
        <v>147.97379999999998</v>
      </c>
      <c r="O11" s="17">
        <f>IF(D11&lt;400,H11+I11*'Factores generales'!$M$41+J11*'Factores generales'!$N$41,I11*'Factores generales'!$M$41+J11*'Factores generales'!$N$41)</f>
        <v>300229.73411999998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Actividad'!$M8*'FE Sectorial'!$H11*'FE Sectorial'!I11*'FE Sectorial'!$P11/1000</f>
        <v>3490514.7536160001</v>
      </c>
      <c r="I12" s="92">
        <f>'Datos Actividad'!$M8*'FE Sectorial'!$H11*'FE Sectorial'!J11/1000/1000</f>
        <v>136.657848</v>
      </c>
      <c r="J12" s="92">
        <f>'Datos Actividad'!$M8*'FE Sectorial'!$H11*'FE Sectorial'!K11/1000/1000</f>
        <v>27.331569599999998</v>
      </c>
      <c r="K12" s="92">
        <f>'Datos Actividad'!$M8*'FE Sectorial'!$H11*'FE Sectorial'!L11/1000/1000</f>
        <v>9110.5231999999996</v>
      </c>
      <c r="L12" s="92">
        <f>'Datos Actividad'!$M8*'FE Sectorial'!$H11*'FE Sectorial'!M11/1000/1000</f>
        <v>683.28923999999995</v>
      </c>
      <c r="M12" s="92">
        <f>'Datos Actividad'!$M8*'FE Sectorial'!$H11*'FE Sectorial'!N11/1000/1000</f>
        <v>227.76307999999997</v>
      </c>
      <c r="N12" s="92">
        <f>'Datos Actividad'!$M8*'FE Sectorial'!$H11*'FE Sectorial'!O11/1000/1000</f>
        <v>9020.32</v>
      </c>
      <c r="O12" s="92">
        <f>IF(D12&lt;400,H12+I12*'Factores generales'!$M$41+J12*'Factores generales'!$N$41,I12*'Factores generales'!$M$41+J12*'Factores generales'!$N$41)</f>
        <v>3501857.355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Actividad'!$M9*'FE Sectorial'!$H12*'FE Sectorial'!I12*'FE Sectorial'!$P12/1000</f>
        <v>22067935.350758355</v>
      </c>
      <c r="I13" s="17">
        <f>'Datos Actividad'!$M9*'FE Sectorial'!$H12*'FE Sectorial'!J12/1000/1000</f>
        <v>395.34455433599999</v>
      </c>
      <c r="J13" s="17">
        <f>'Datos Actividad'!$M9*'FE Sectorial'!$H12*'FE Sectorial'!K12/1000/1000</f>
        <v>39.534455433600002</v>
      </c>
      <c r="K13" s="17">
        <f>'Datos Actividad'!$M9*'FE Sectorial'!$H12*'FE Sectorial'!L12/1000/1000</f>
        <v>59301.6831504</v>
      </c>
      <c r="L13" s="17">
        <f>'Datos Actividad'!$M9*'FE Sectorial'!$H12*'FE Sectorial'!M12/1000/1000</f>
        <v>7906.8910867200002</v>
      </c>
      <c r="M13" s="17">
        <f>'Datos Actividad'!$M9*'FE Sectorial'!$H12*'FE Sectorial'!N12/1000/1000</f>
        <v>1976.7227716800001</v>
      </c>
      <c r="N13" s="17">
        <f>'Datos Actividad'!$M9*'FE Sectorial'!$H12*'FE Sectorial'!O12/1000/1000</f>
        <v>0</v>
      </c>
      <c r="O13" s="17">
        <f>IF(D13&lt;400,H13+I13*'Factores generales'!$M$41+J13*'Factores generales'!$N$41,I13*'Factores generales'!$M$41+J13*'Factores generales'!$N$41)</f>
        <v>22088493.267583825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Actividad'!$M10*'FE Sectorial'!$H13*'FE Sectorial'!I13*'FE Sectorial'!$P13/1000</f>
        <v>0</v>
      </c>
      <c r="I14" s="147">
        <f>'Datos Actividad'!$M10*'FE Sectorial'!$H13*'FE Sectorial'!J13/1000/1000</f>
        <v>0</v>
      </c>
      <c r="J14" s="147">
        <f>'Datos Actividad'!$M10*'FE Sectorial'!$H13*'FE Sectorial'!K13/1000/1000</f>
        <v>0</v>
      </c>
      <c r="K14" s="147">
        <f>'Datos Actividad'!$M10*'FE Sectorial'!$H13*'FE Sectorial'!L13/1000/1000</f>
        <v>0</v>
      </c>
      <c r="L14" s="147">
        <f>'Datos Actividad'!$M10*'FE Sectorial'!$H13*'FE Sectorial'!M13/1000/1000</f>
        <v>0</v>
      </c>
      <c r="M14" s="147">
        <f>'Datos Actividad'!$M10*'FE Sectorial'!$H13*'FE Sectorial'!N13/1000/1000</f>
        <v>0</v>
      </c>
      <c r="N14" s="147">
        <f>'Datos Actividad'!$M10*'FE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4627500.0284750406</v>
      </c>
      <c r="I17" s="134">
        <f t="shared" ref="I17:O17" si="5">SUM(I18:I25)</f>
        <v>101.24692406356114</v>
      </c>
      <c r="J17" s="134">
        <f t="shared" si="5"/>
        <v>17.686354503941224</v>
      </c>
      <c r="K17" s="134">
        <f t="shared" si="5"/>
        <v>12367.140736546582</v>
      </c>
      <c r="L17" s="134">
        <f t="shared" si="5"/>
        <v>1445.9643416334566</v>
      </c>
      <c r="M17" s="134">
        <f t="shared" si="5"/>
        <v>377.57370039830204</v>
      </c>
      <c r="N17" s="134">
        <f t="shared" si="5"/>
        <v>2372.7684105485937</v>
      </c>
      <c r="O17" s="134">
        <f t="shared" si="5"/>
        <v>4635108.9837765973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Actividad'!$M14*'FE Sectorial'!$H17*'FE Sectorial'!I17*'FE Sectorial'!P17/1000</f>
        <v>1728708.664293072</v>
      </c>
      <c r="I18" s="17">
        <f>'Datos Actividad'!$M14*'FE Sectorial'!$H17*'FE Sectorial'!J17/1000/1000</f>
        <v>30.969619296000001</v>
      </c>
      <c r="J18" s="17">
        <f>'Datos Actividad'!$M14*'FE Sectorial'!$H17*'FE Sectorial'!K17/1000/1000</f>
        <v>3.0969619296000004</v>
      </c>
      <c r="K18" s="17">
        <f>'Datos Actividad'!$M14*'FE Sectorial'!$H17*'FE Sectorial'!L17/1000/1000</f>
        <v>4645.4428943999992</v>
      </c>
      <c r="L18" s="17">
        <f>'Datos Actividad'!$M14*'FE Sectorial'!$H17*'FE Sectorial'!M17/1000/1000</f>
        <v>619.39238591999992</v>
      </c>
      <c r="M18" s="17">
        <f>'Datos Actividad'!$M14*'FE Sectorial'!$H17*'FE Sectorial'!N17/1000/1000</f>
        <v>154.84809647999998</v>
      </c>
      <c r="N18" s="17">
        <f>'Datos Actividad'!$M14*'FE Sectorial'!$H17*'FE Sectorial'!O17/1000/1000</f>
        <v>0</v>
      </c>
      <c r="O18" s="87">
        <f>IF(D18&lt;400,H18+I18*'Factores generales'!$M$41+J18*'Factores generales'!$N$41,I18*'Factores generales'!$M$41+J18*'Factores generales'!$N$41)</f>
        <v>1730319.0844964641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Actividad'!$M15*'FE Sectorial'!$H18*'FE Sectorial'!I18*'FE Sectorial'!P18/1000</f>
        <v>4191.2055185753425</v>
      </c>
      <c r="I19" s="17">
        <f>'Datos Actividad'!$M15*'FE Sectorial'!$H18*'FE Sectorial'!J18/1000/1000</f>
        <v>6.7092566210045682E-2</v>
      </c>
      <c r="J19" s="17">
        <f>'Datos Actividad'!$M15*'FE Sectorial'!$H18*'FE Sectorial'!K18/1000/1000</f>
        <v>6.7092566210045666E-3</v>
      </c>
      <c r="K19" s="17">
        <f>'Datos Actividad'!$M15*'FE Sectorial'!$H18*'FE Sectorial'!L18/1000/1000</f>
        <v>10.063884931506848</v>
      </c>
      <c r="L19" s="17">
        <f>'Datos Actividad'!$M15*'FE Sectorial'!$H18*'FE Sectorial'!M18/1000/1000</f>
        <v>1.3418513242009134</v>
      </c>
      <c r="M19" s="17">
        <f>'Datos Actividad'!$M15*'FE Sectorial'!$H18*'FE Sectorial'!N18/1000/1000</f>
        <v>0.33546283105022834</v>
      </c>
      <c r="N19" s="17">
        <f>'Datos Actividad'!$M15*'FE Sectorial'!$H18*'FE Sectorial'!O18/1000/1000</f>
        <v>0.28368949771689506</v>
      </c>
      <c r="O19" s="87">
        <f>IF(D19&lt;400,H19+I19*'Factores generales'!$M$41+J19*'Factores generales'!$N$41,I19*'Factores generales'!$M$41+J19*'Factores generales'!$N$41)</f>
        <v>4194.6943320182654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Actividad'!$M16*'FE Sectorial'!$H19*'FE Sectorial'!I19*'FE Sectorial'!P19/1000</f>
        <v>1660200.7611958559</v>
      </c>
      <c r="I20" s="17">
        <f>'Datos Actividad'!$M16*'FE Sectorial'!$H19*'FE Sectorial'!J19/1000/1000</f>
        <v>28.967768725499997</v>
      </c>
      <c r="J20" s="17">
        <f>'Datos Actividad'!$M16*'FE Sectorial'!$H19*'FE Sectorial'!K19/1000/1000</f>
        <v>2.8967768725499998</v>
      </c>
      <c r="K20" s="17">
        <f>'Datos Actividad'!$M16*'FE Sectorial'!$H19*'FE Sectorial'!L19/1000/1000</f>
        <v>4345.1653088250005</v>
      </c>
      <c r="L20" s="17">
        <f>'Datos Actividad'!$M16*'FE Sectorial'!$H19*'FE Sectorial'!M19/1000/1000</f>
        <v>579.35537451000005</v>
      </c>
      <c r="M20" s="17">
        <f>'Datos Actividad'!$M16*'FE Sectorial'!$H19*'FE Sectorial'!N19/1000/1000</f>
        <v>144.83884362750001</v>
      </c>
      <c r="N20" s="17">
        <f>'Datos Actividad'!$M16*'FE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1661707.0851695819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Actividad'!$M17*'FE Sectorial'!$H20*'FE Sectorial'!I20*'FE Sectorial'!P20/1000</f>
        <v>6061.3951456310679</v>
      </c>
      <c r="I21" s="17">
        <f>'Datos Actividad'!$M17*'FE Sectorial'!$H20*'FE Sectorial'!J20/1000/1000</f>
        <v>0.25689320388349512</v>
      </c>
      <c r="J21" s="17">
        <f>'Datos Actividad'!$M17*'FE Sectorial'!$H20*'FE Sectorial'!K20/1000/1000</f>
        <v>5.1378640776699021E-2</v>
      </c>
      <c r="K21" s="17">
        <f>'Datos Actividad'!$M17*'FE Sectorial'!$H20*'FE Sectorial'!L20/1000/1000</f>
        <v>17.126213592233007</v>
      </c>
      <c r="L21" s="17">
        <f>'Datos Actividad'!$M17*'FE Sectorial'!$H20*'FE Sectorial'!M20/1000/1000</f>
        <v>1.2844660194174757</v>
      </c>
      <c r="M21" s="17">
        <f>'Datos Actividad'!$M17*'FE Sectorial'!$H20*'FE Sectorial'!N20/1000/1000</f>
        <v>0.42815533980582515</v>
      </c>
      <c r="N21" s="17">
        <f>'Datos Actividad'!$M17*'FE Sectorial'!$H20*'FE Sectorial'!O20/1000/1000</f>
        <v>3.8834951456310671</v>
      </c>
      <c r="O21" s="87">
        <f>IF(D21&lt;400,H21+I21*'Factores generales'!$M$41+J21*'Factores generales'!$N$41,I21*'Factores generales'!$M$41+J21*'Factores generales'!$N$41)</f>
        <v>6082.7172815533977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Actividad'!$M18*'FE Sectorial'!$H21*'FE Sectorial'!I21*'FE Sectorial'!P21/1000</f>
        <v>5873.0243478260873</v>
      </c>
      <c r="I22" s="17">
        <f>'Datos Actividad'!$M18*'FE Sectorial'!$H21*'FE Sectorial'!J21/1000/1000</f>
        <v>0.25681159420289851</v>
      </c>
      <c r="J22" s="17">
        <f>'Datos Actividad'!$M18*'FE Sectorial'!$H21*'FE Sectorial'!K21/1000/1000</f>
        <v>5.1362318840579707E-2</v>
      </c>
      <c r="K22" s="17">
        <f>'Datos Actividad'!$M18*'FE Sectorial'!$H21*'FE Sectorial'!L21/1000/1000</f>
        <v>17.120772946859901</v>
      </c>
      <c r="L22" s="17">
        <f>'Datos Actividad'!$M18*'FE Sectorial'!$H21*'FE Sectorial'!M21/1000/1000</f>
        <v>1.2840579710144928</v>
      </c>
      <c r="M22" s="17">
        <f>'Datos Actividad'!$M18*'FE Sectorial'!$H21*'FE Sectorial'!N21/1000/1000</f>
        <v>0.42801932367149753</v>
      </c>
      <c r="N22" s="17">
        <f>'Datos Actividad'!$M18*'FE Sectorial'!$H21*'FE Sectorial'!O21/1000/1000</f>
        <v>0.38647342995169082</v>
      </c>
      <c r="O22" s="87">
        <f>IF(D22&lt;400,H22+I22*'Factores generales'!$M$41+J22*'Factores generales'!$N$41,I22*'Factores generales'!$M$41+J22*'Factores generales'!$N$41)</f>
        <v>5894.3397101449273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Actividad'!$M19*'FE Sectorial'!$H22*'FE Sectorial'!I22*'FE Sectorial'!P22/1000</f>
        <v>66046.535211480354</v>
      </c>
      <c r="I23" s="17">
        <f>'Datos Actividad'!$M19*'FE Sectorial'!$H22*'FE Sectorial'!J22/1000/1000</f>
        <v>2.7009583777647062</v>
      </c>
      <c r="J23" s="17">
        <f>'Datos Actividad'!$M19*'FE Sectorial'!$H22*'FE Sectorial'!K22/1000/1000</f>
        <v>0.54019167555294123</v>
      </c>
      <c r="K23" s="17">
        <f>'Datos Actividad'!$M19*'FE Sectorial'!$H22*'FE Sectorial'!L22/1000/1000</f>
        <v>180.06389185098041</v>
      </c>
      <c r="L23" s="17">
        <f>'Datos Actividad'!$M19*'FE Sectorial'!$H22*'FE Sectorial'!M22/1000/1000</f>
        <v>13.504791888823529</v>
      </c>
      <c r="M23" s="17">
        <f>'Datos Actividad'!$M19*'FE Sectorial'!$H22*'FE Sectorial'!N22/1000/1000</f>
        <v>4.5015972962745101</v>
      </c>
      <c r="N23" s="17">
        <f>'Datos Actividad'!$M19*'FE Sectorial'!$H22*'FE Sectorial'!O22/1000/1000</f>
        <v>32.66275247529412</v>
      </c>
      <c r="O23" s="87">
        <f>IF(D23&lt;400,H23+I23*'Factores generales'!$M$41+J23*'Factores generales'!$N$41,I23*'Factores generales'!$M$41+J23*'Factores generales'!$N$41)</f>
        <v>66270.71475683483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Actividad'!$M20*'FE Sectorial'!$H23*'FE Sectorial'!I23*'FE Sectorial'!P23/1000</f>
        <v>903768.2381375999</v>
      </c>
      <c r="I24" s="17">
        <f>'Datos Actividad'!$M20*'FE Sectorial'!$H23*'FE Sectorial'!J23/1000/1000</f>
        <v>35.383612799999995</v>
      </c>
      <c r="J24" s="17">
        <f>'Datos Actividad'!$M20*'FE Sectorial'!$H23*'FE Sectorial'!K23/1000/1000</f>
        <v>7.0767225599999994</v>
      </c>
      <c r="K24" s="17">
        <f>'Datos Actividad'!$M20*'FE Sectorial'!$H23*'FE Sectorial'!L23/1000/1000</f>
        <v>2358.9075200000002</v>
      </c>
      <c r="L24" s="17">
        <f>'Datos Actividad'!$M20*'FE Sectorial'!$H23*'FE Sectorial'!M23/1000/1000</f>
        <v>176.91806400000002</v>
      </c>
      <c r="M24" s="17">
        <f>'Datos Actividad'!$M20*'FE Sectorial'!$H23*'FE Sectorial'!N23/1000/1000</f>
        <v>58.972688000000005</v>
      </c>
      <c r="N24" s="17">
        <f>'Datos Actividad'!$M20*'FE Sectorial'!$H23*'FE Sectorial'!O23/1000/1000</f>
        <v>2335.5520000000001</v>
      </c>
      <c r="O24" s="87">
        <f>IF(D24&lt;400,H24+I24*'Factores generales'!$M$41+J24*'Factores generales'!$N$41,I24*'Factores generales'!$M$41+J24*'Factores generales'!$N$41)</f>
        <v>906705.07799999998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Actividad'!$M21*'FE Sectorial'!$H24*'FE Sectorial'!I24*'FE Sectorial'!P24/1000</f>
        <v>252650.20462500001</v>
      </c>
      <c r="I25" s="17">
        <f>'Datos Actividad'!$M21*'FE Sectorial'!$H24*'FE Sectorial'!J24/1000/1000</f>
        <v>2.6441675</v>
      </c>
      <c r="J25" s="17">
        <f>'Datos Actividad'!$M21*'FE Sectorial'!$H24*'FE Sectorial'!K24/1000/1000</f>
        <v>3.9662512500000005</v>
      </c>
      <c r="K25" s="17">
        <f>'Datos Actividad'!$M21*'FE Sectorial'!$H24*'FE Sectorial'!L24/1000/1000</f>
        <v>793.25025000000005</v>
      </c>
      <c r="L25" s="17">
        <f>'Datos Actividad'!$M21*'FE Sectorial'!$H24*'FE Sectorial'!M24/1000/1000</f>
        <v>52.88335</v>
      </c>
      <c r="M25" s="17">
        <f>'Datos Actividad'!$M21*'FE Sectorial'!$H24*'FE Sectorial'!N24/1000/1000</f>
        <v>13.2208375</v>
      </c>
      <c r="N25" s="17">
        <f>'Datos Actividad'!$M21*'FE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253935.27003000001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7864559.790938288</v>
      </c>
      <c r="I26" s="134">
        <f t="shared" ref="I26:O26" si="6">I27+I28</f>
        <v>140.63793106779661</v>
      </c>
      <c r="J26" s="134">
        <f t="shared" si="6"/>
        <v>15.057787301694916</v>
      </c>
      <c r="K26" s="134">
        <f t="shared" si="6"/>
        <v>21169.080420338982</v>
      </c>
      <c r="L26" s="134">
        <f t="shared" si="6"/>
        <v>2807.4780063559319</v>
      </c>
      <c r="M26" s="134">
        <f t="shared" si="6"/>
        <v>702.01618533898295</v>
      </c>
      <c r="N26" s="134">
        <f t="shared" si="6"/>
        <v>659.90827389830497</v>
      </c>
      <c r="O26" s="134">
        <f t="shared" si="6"/>
        <v>7872181.1015542373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7864559.790938288</v>
      </c>
      <c r="I28" s="15">
        <f t="shared" si="7"/>
        <v>140.63793106779661</v>
      </c>
      <c r="J28" s="15">
        <f t="shared" si="7"/>
        <v>15.057787301694916</v>
      </c>
      <c r="K28" s="15">
        <f t="shared" si="7"/>
        <v>21169.080420338982</v>
      </c>
      <c r="L28" s="15">
        <f t="shared" si="7"/>
        <v>2807.4780063559319</v>
      </c>
      <c r="M28" s="15">
        <f t="shared" si="7"/>
        <v>702.01618533898295</v>
      </c>
      <c r="N28" s="15">
        <f t="shared" si="7"/>
        <v>659.90827389830497</v>
      </c>
      <c r="O28" s="15">
        <f t="shared" si="7"/>
        <v>7872181.1015542373</v>
      </c>
    </row>
    <row r="29" spans="1:15" outlineLevel="1" x14ac:dyDescent="0.25">
      <c r="B29" s="1" t="s">
        <v>7</v>
      </c>
      <c r="G29" s="1"/>
      <c r="H29" s="95">
        <f t="shared" ref="H29:O29" si="8">H30+H31</f>
        <v>67702.253480288127</v>
      </c>
      <c r="I29" s="95">
        <f t="shared" si="8"/>
        <v>0.85706506779661029</v>
      </c>
      <c r="J29" s="95">
        <f t="shared" si="8"/>
        <v>1.0617181016949155</v>
      </c>
      <c r="K29" s="95">
        <f t="shared" si="8"/>
        <v>216.93602033898307</v>
      </c>
      <c r="L29" s="95">
        <f t="shared" si="8"/>
        <v>14.558076355932203</v>
      </c>
      <c r="M29" s="95">
        <f t="shared" si="8"/>
        <v>3.7112753389830506</v>
      </c>
      <c r="N29" s="95">
        <f t="shared" si="8"/>
        <v>657.73363389830502</v>
      </c>
      <c r="O29" s="95">
        <f t="shared" si="8"/>
        <v>68049.384458237284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Actividad'!$M26*'FE Sectorial'!$H29*'FE Sectorial'!I29*'FE Sectorial'!P29/1000</f>
        <v>63491.080085288129</v>
      </c>
      <c r="I30" s="17">
        <f>'Datos Actividad'!$M26*'FE Sectorial'!$H29*'FE Sectorial'!J29/1000/1000</f>
        <v>0.68485006779661028</v>
      </c>
      <c r="J30" s="17">
        <f>'Datos Actividad'!$M26*'FE Sectorial'!$H29*'FE Sectorial'!K29/1000/1000</f>
        <v>1.0272751016949155</v>
      </c>
      <c r="K30" s="17">
        <f>'Datos Actividad'!$M26*'FE Sectorial'!$H29*'FE Sectorial'!L29/1000/1000</f>
        <v>205.45502033898308</v>
      </c>
      <c r="L30" s="17">
        <f>'Datos Actividad'!$M26*'FE Sectorial'!$H29*'FE Sectorial'!M29/1000/1000</f>
        <v>13.697001355932203</v>
      </c>
      <c r="M30" s="17">
        <f>'Datos Actividad'!$M26*'FE Sectorial'!$H29*'FE Sectorial'!N29/1000/1000</f>
        <v>3.4242503389830508</v>
      </c>
      <c r="N30" s="17">
        <f>'Datos Actividad'!$M26*'FE Sectorial'!$H29*'FE Sectorial'!O29/1000/1000</f>
        <v>655.65103389830506</v>
      </c>
      <c r="O30" s="87">
        <f>IF(D30&lt;400,H30+I30*'Factores generales'!$M$41+J30*'Factores generales'!$N$41,I30*'Factores generales'!$M$41+J30*'Factores generales'!$N$41)</f>
        <v>63823.917218237279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Actividad'!$M27*'FE Sectorial'!$H30*'FE Sectorial'!I30*'FE Sectorial'!P30/1000</f>
        <v>4211.1733949999998</v>
      </c>
      <c r="I31" s="17">
        <f>'Datos Actividad'!$M27*'FE Sectorial'!$H30*'FE Sectorial'!J30/1000/1000</f>
        <v>0.17221500000000001</v>
      </c>
      <c r="J31" s="17">
        <f>'Datos Actividad'!$M27*'FE Sectorial'!$H30*'FE Sectorial'!K30/1000/1000</f>
        <v>3.4442999999999994E-2</v>
      </c>
      <c r="K31" s="17">
        <f>'Datos Actividad'!$M27*'FE Sectorial'!$H30*'FE Sectorial'!L30/1000/1000</f>
        <v>11.481</v>
      </c>
      <c r="L31" s="17">
        <f>'Datos Actividad'!$M27*'FE Sectorial'!$H30*'FE Sectorial'!M30/1000/1000</f>
        <v>0.86107500000000003</v>
      </c>
      <c r="M31" s="17">
        <f>'Datos Actividad'!$M27*'FE Sectorial'!$H30*'FE Sectorial'!N30/1000/1000</f>
        <v>0.28702499999999997</v>
      </c>
      <c r="N31" s="17">
        <f>'Datos Actividad'!$M27*'FE Sectorial'!$H30*'FE Sectorial'!O30/1000/1000</f>
        <v>2.0825999999999998</v>
      </c>
      <c r="O31" s="87">
        <f>IF(D31&lt;400,H31+I31*'Factores generales'!$M$41+J31*'Factores generales'!$N$41,I31*'Factores generales'!$M$41+J31*'Factores generales'!$N$41)</f>
        <v>4225.4672399999999</v>
      </c>
    </row>
    <row r="32" spans="1:15" outlineLevel="1" x14ac:dyDescent="0.25">
      <c r="B32" s="1" t="s">
        <v>6</v>
      </c>
      <c r="G32" s="1"/>
      <c r="H32" s="17">
        <f>H33+H34+H35</f>
        <v>7796857.5374579998</v>
      </c>
      <c r="I32" s="17">
        <f t="shared" ref="I32:O32" si="9">I33+I34+I35</f>
        <v>139.780866</v>
      </c>
      <c r="J32" s="17">
        <f t="shared" si="9"/>
        <v>13.996069199999999</v>
      </c>
      <c r="K32" s="17">
        <f t="shared" si="9"/>
        <v>20952.144399999997</v>
      </c>
      <c r="L32" s="17">
        <f t="shared" si="9"/>
        <v>2792.9199299999996</v>
      </c>
      <c r="M32" s="17">
        <f t="shared" si="9"/>
        <v>698.30490999999995</v>
      </c>
      <c r="N32" s="17">
        <f t="shared" si="9"/>
        <v>2.1746399999999997</v>
      </c>
      <c r="O32" s="17">
        <f t="shared" si="9"/>
        <v>7804131.717096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Actividad'!$M29*'FE Sectorial'!$H32*'FE Sectorial'!I32*'FE Sectorial'!P32/1000</f>
        <v>7792460.2522799997</v>
      </c>
      <c r="I33" s="17">
        <f>'Datos Actividad'!$M29*'FE Sectorial'!$H32*'FE Sectorial'!J32/1000/1000</f>
        <v>139.60104000000001</v>
      </c>
      <c r="J33" s="17">
        <f>'Datos Actividad'!$M29*'FE Sectorial'!$H32*'FE Sectorial'!K32/1000/1000</f>
        <v>13.960103999999999</v>
      </c>
      <c r="K33" s="17">
        <f>'Datos Actividad'!$M29*'FE Sectorial'!$H32*'FE Sectorial'!L32/1000/1000</f>
        <v>20940.155999999999</v>
      </c>
      <c r="L33" s="17">
        <f>'Datos Actividad'!$M29*'FE Sectorial'!$H32*'FE Sectorial'!M32/1000/1000</f>
        <v>2792.0207999999998</v>
      </c>
      <c r="M33" s="17">
        <f>'Datos Actividad'!$M29*'FE Sectorial'!$H32*'FE Sectorial'!N32/1000/1000</f>
        <v>698.00519999999995</v>
      </c>
      <c r="N33" s="17">
        <f>'Datos Actividad'!$M29*'FE Sectorial'!$H32*'FE Sectorial'!O32/1000/1000</f>
        <v>0</v>
      </c>
      <c r="O33" s="87">
        <f>IF(D33&lt;400,H33+I33*'Factores generales'!$M$41+J33*'Factores generales'!$N$41,I33*'Factores generales'!$M$41+J33*'Factores generales'!$N$41)</f>
        <v>7799719.50636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Actividad'!$M30*'FE Sectorial'!$H33*'FE Sectorial'!I33*'FE Sectorial'!P33/1000</f>
        <v>4397.2851779999992</v>
      </c>
      <c r="I34" s="17">
        <f>'Datos Actividad'!$M30*'FE Sectorial'!$H33*'FE Sectorial'!J33/1000/1000</f>
        <v>0.17982599999999999</v>
      </c>
      <c r="J34" s="17">
        <f>'Datos Actividad'!$M30*'FE Sectorial'!$H33*'FE Sectorial'!K33/1000/1000</f>
        <v>3.5965199999999996E-2</v>
      </c>
      <c r="K34" s="17">
        <f>'Datos Actividad'!$M30*'FE Sectorial'!$H33*'FE Sectorial'!L33/1000/1000</f>
        <v>11.9884</v>
      </c>
      <c r="L34" s="17">
        <f>'Datos Actividad'!$M30*'FE Sectorial'!$H33*'FE Sectorial'!M33/1000/1000</f>
        <v>0.89912999999999998</v>
      </c>
      <c r="M34" s="17">
        <f>'Datos Actividad'!$M30*'FE Sectorial'!$H33*'FE Sectorial'!N33/1000/1000</f>
        <v>0.29970999999999998</v>
      </c>
      <c r="N34" s="17">
        <f>'Datos Actividad'!$M30*'FE Sectorial'!$H33*'FE Sectorial'!O33/1000/1000</f>
        <v>2.1746399999999997</v>
      </c>
      <c r="O34" s="87">
        <f>IF(D34&lt;400,H34+I34*'Factores generales'!$M$41+J34*'Factores generales'!$N$41,I34*'Factores generales'!$M$41+J34*'Factores generales'!$N$41)</f>
        <v>4412.2107359999991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Actividad'!$M31*'FE Sectorial'!$H34*'FE Sectorial'!I34*'FE Sectorial'!P34/1000</f>
        <v>0</v>
      </c>
      <c r="I35" s="17">
        <f>'Datos Actividad'!$M31*'FE Sectorial'!$H34*'FE Sectorial'!J34/1000/1000</f>
        <v>0</v>
      </c>
      <c r="J35" s="17">
        <f>'Datos Actividad'!$M31*'FE Sectorial'!$H34*'FE Sectorial'!K34/1000/1000</f>
        <v>0</v>
      </c>
      <c r="K35" s="17">
        <f>'Datos Actividad'!$M31*'FE Sectorial'!$H34*'FE Sectorial'!L34/1000/1000</f>
        <v>0</v>
      </c>
      <c r="L35" s="17">
        <f>'Datos Actividad'!$M31*'FE Sectorial'!$H34*'FE Sectorial'!M34/1000/1000</f>
        <v>0</v>
      </c>
      <c r="M35" s="17">
        <f>'Datos Actividad'!$M31*'FE Sectorial'!$H34*'FE Sectorial'!N34/1000/1000</f>
        <v>0</v>
      </c>
      <c r="N35" s="17">
        <f>'Datos Actividad'!$M31*'FE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22265791.57272435</v>
      </c>
      <c r="I36" s="129">
        <f t="shared" si="10"/>
        <v>3090.6138407184649</v>
      </c>
      <c r="J36" s="129">
        <f t="shared" si="10"/>
        <v>440.92974139758769</v>
      </c>
      <c r="K36" s="129">
        <f t="shared" si="10"/>
        <v>64927.824377917204</v>
      </c>
      <c r="L36" s="129">
        <f t="shared" si="10"/>
        <v>345976.57997810066</v>
      </c>
      <c r="M36" s="129">
        <f t="shared" si="10"/>
        <v>6673.0626408722128</v>
      </c>
      <c r="N36" s="129">
        <f t="shared" si="10"/>
        <v>5100.5338328187427</v>
      </c>
      <c r="O36" s="129">
        <f t="shared" si="10"/>
        <v>22467382.683212694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7670890.7793573588</v>
      </c>
      <c r="I37" s="134">
        <f t="shared" ref="I37:O37" si="11">SUM(I38:I44)</f>
        <v>89.80999974019123</v>
      </c>
      <c r="J37" s="134">
        <f t="shared" si="11"/>
        <v>39.126050019106856</v>
      </c>
      <c r="K37" s="134">
        <f t="shared" si="11"/>
        <v>16511.447148002368</v>
      </c>
      <c r="L37" s="134">
        <f t="shared" si="11"/>
        <v>5207.0166617846853</v>
      </c>
      <c r="M37" s="134">
        <f t="shared" si="11"/>
        <v>763.13958239832459</v>
      </c>
      <c r="N37" s="134">
        <f t="shared" si="11"/>
        <v>133.24468000000002</v>
      </c>
      <c r="O37" s="134">
        <f t="shared" si="11"/>
        <v>7684905.8648578273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Actividad'!$M34*'FE Sectorial'!$H37*'FE Sectorial'!I37*'FE Sectorial'!P37/1000</f>
        <v>2874294.7170648486</v>
      </c>
      <c r="I38" s="17">
        <f>'Datos Actividad'!$M34*'FE Sectorial'!$H37*'FE Sectorial'!J37/1000/1000</f>
        <v>51.492663263999994</v>
      </c>
      <c r="J38" s="17">
        <f>'Datos Actividad'!$M34*'FE Sectorial'!$H37*'FE Sectorial'!K37/1000/1000</f>
        <v>5.1492663264000003</v>
      </c>
      <c r="K38" s="17">
        <f>'Datos Actividad'!$M34*'FE Sectorial'!$H37*'FE Sectorial'!L37/1000/1000</f>
        <v>7723.8994895999995</v>
      </c>
      <c r="L38" s="17">
        <f>'Datos Actividad'!$M34*'FE Sectorial'!$H37*'FE Sectorial'!M37/1000/1000</f>
        <v>1544.7798979200002</v>
      </c>
      <c r="M38" s="17">
        <f>'Datos Actividad'!$M34*'FE Sectorial'!$H37*'FE Sectorial'!N37/1000/1000</f>
        <v>257.46331631999999</v>
      </c>
      <c r="N38" s="17">
        <f>'Datos Actividad'!$M34*'FE Sectorial'!$H37*'FE Sectorial'!O37/1000/1000</f>
        <v>0</v>
      </c>
      <c r="O38" s="87">
        <f>IF(D38&lt;400,H38+I38*'Factores generales'!$M$41+J38*'Factores generales'!$N$41,I38*'Factores generales'!$M$41+J38*'Factores generales'!$N$41)</f>
        <v>2876972.3355545769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Actividad'!$M35*'FE Sectorial'!$H38*'FE Sectorial'!I38*'FE Sectorial'!P38/1000</f>
        <v>2463362.7302547898</v>
      </c>
      <c r="I39" s="17">
        <f>'Datos Actividad'!$M35*'FE Sectorial'!$H38*'FE Sectorial'!J38/1000/1000</f>
        <v>9.5220824516999993</v>
      </c>
      <c r="J39" s="17">
        <f>'Datos Actividad'!$M35*'FE Sectorial'!$H38*'FE Sectorial'!K38/1000/1000</f>
        <v>0.95220824517000002</v>
      </c>
      <c r="K39" s="17">
        <f>'Datos Actividad'!$M35*'FE Sectorial'!$H38*'FE Sectorial'!L38/1000/1000</f>
        <v>1428.312367755</v>
      </c>
      <c r="L39" s="17">
        <f>'Datos Actividad'!$M35*'FE Sectorial'!$H38*'FE Sectorial'!M38/1000/1000</f>
        <v>285.66247355100001</v>
      </c>
      <c r="M39" s="17">
        <f>'Datos Actividad'!$M35*'FE Sectorial'!$H38*'FE Sectorial'!N38/1000/1000</f>
        <v>47.610412258499998</v>
      </c>
      <c r="N39" s="17">
        <f>'Datos Actividad'!$M35*'FE Sectorial'!$H38*'FE Sectorial'!O38/1000/1000</f>
        <v>0</v>
      </c>
      <c r="O39" s="87">
        <f>IF(D39&lt;400,H39+I39*'Factores generales'!$M$41+J39*'Factores generales'!$N$41,I39*'Factores generales'!$M$41+J39*'Factores generales'!$N$41)</f>
        <v>2463857.8785422784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Actividad'!$M36*'FE Sectorial'!$H39*'FE Sectorial'!I39*'FE Sectorial'!P39/1000</f>
        <v>238044.97026248407</v>
      </c>
      <c r="I40" s="17">
        <f>'Datos Actividad'!$M36*'FE Sectorial'!$H39*'FE Sectorial'!J39/1000/1000</f>
        <v>5.3883147780000016</v>
      </c>
      <c r="J40" s="17">
        <f>'Datos Actividad'!$M36*'FE Sectorial'!$H39*'FE Sectorial'!K39/1000/1000</f>
        <v>0.53883147780000029</v>
      </c>
      <c r="K40" s="17">
        <f>'Datos Actividad'!$M36*'FE Sectorial'!$H39*'FE Sectorial'!L39/1000/1000</f>
        <v>808.24721670000031</v>
      </c>
      <c r="L40" s="17">
        <f>'Datos Actividad'!$M36*'FE Sectorial'!$H39*'FE Sectorial'!M39/1000/1000</f>
        <v>161.64944334000006</v>
      </c>
      <c r="M40" s="17">
        <f>'Datos Actividad'!$M36*'FE Sectorial'!$H39*'FE Sectorial'!N39/1000/1000</f>
        <v>26.941573890000008</v>
      </c>
      <c r="N40" s="17">
        <f>'Datos Actividad'!$M36*'FE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238325.16263094009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Actividad'!$M37*'FE Sectorial'!$H40*'FE Sectorial'!I40*'FE Sectorial'!P40/1000</f>
        <v>9.4633109999999991</v>
      </c>
      <c r="I41" s="17">
        <f>'Datos Actividad'!$M37*'FE Sectorial'!$H40*'FE Sectorial'!J40/1000/1000</f>
        <v>3.8700000000000003E-4</v>
      </c>
      <c r="J41" s="17">
        <f>'Datos Actividad'!$M37*'FE Sectorial'!$H40*'FE Sectorial'!K40/1000/1000</f>
        <v>7.7399999999999998E-5</v>
      </c>
      <c r="K41" s="17">
        <f>'Datos Actividad'!$M37*'FE Sectorial'!$H40*'FE Sectorial'!L40/1000/1000</f>
        <v>2.58E-2</v>
      </c>
      <c r="L41" s="17">
        <f>'Datos Actividad'!$M37*'FE Sectorial'!$H40*'FE Sectorial'!M40/1000/1000</f>
        <v>1.2900000000000001E-3</v>
      </c>
      <c r="M41" s="17">
        <f>'Datos Actividad'!$M37*'FE Sectorial'!$H40*'FE Sectorial'!N40/1000/1000</f>
        <v>6.4500000000000007E-4</v>
      </c>
      <c r="N41" s="17">
        <f>'Datos Actividad'!$M37*'FE Sectorial'!$H40*'FE Sectorial'!O40/1000/1000</f>
        <v>4.6800000000000001E-3</v>
      </c>
      <c r="O41" s="87">
        <f>IF(D41&lt;400,H41+I41*'Factores generales'!$M$41+J41*'Factores generales'!$N$41,I41*'Factores generales'!$M$41+J41*'Factores generales'!$N$41)</f>
        <v>9.4954319999999992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Actividad'!$M38*'FE Sectorial'!$H41*'FE Sectorial'!I41*'FE Sectorial'!P41/1000</f>
        <v>51558.723612000002</v>
      </c>
      <c r="I42" s="17">
        <f>'Datos Actividad'!$M38*'FE Sectorial'!$H41*'FE Sectorial'!J41/1000/1000</f>
        <v>2.018586</v>
      </c>
      <c r="J42" s="17">
        <f>'Datos Actividad'!$M38*'FE Sectorial'!$H41*'FE Sectorial'!K41/1000/1000</f>
        <v>0.4037172</v>
      </c>
      <c r="K42" s="17">
        <f>'Datos Actividad'!$M38*'FE Sectorial'!$H41*'FE Sectorial'!L41/1000/1000</f>
        <v>134.57239999999999</v>
      </c>
      <c r="L42" s="17">
        <f>'Datos Actividad'!$M38*'FE Sectorial'!$H41*'FE Sectorial'!M41/1000/1000</f>
        <v>6.7286200000000003</v>
      </c>
      <c r="M42" s="17">
        <f>'Datos Actividad'!$M38*'FE Sectorial'!$H41*'FE Sectorial'!N41/1000/1000</f>
        <v>3.3643100000000001</v>
      </c>
      <c r="N42" s="17">
        <f>'Datos Actividad'!$M38*'FE Sectorial'!$H41*'FE Sectorial'!O41/1000/1000</f>
        <v>133.24</v>
      </c>
      <c r="O42" s="87">
        <f>IF(D42&lt;400,H42+I42*'Factores generales'!$M$41+J42*'Factores generales'!$N$41,I42*'Factores generales'!$M$41+J42*'Factores generales'!$N$41)</f>
        <v>51726.266250000001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Actividad'!$M39*'FE Sectorial'!$H42*'FE Sectorial'!I42*'FE Sectorial'!P42/1000</f>
        <v>1707204.5498522373</v>
      </c>
      <c r="I43" s="17">
        <f>'Datos Actividad'!$M39*'FE Sectorial'!$H42*'FE Sectorial'!J42/1000/1000</f>
        <v>17.867132913157899</v>
      </c>
      <c r="J43" s="17">
        <f>'Datos Actividad'!$M39*'FE Sectorial'!$H42*'FE Sectorial'!K42/1000/1000</f>
        <v>26.800699369736854</v>
      </c>
      <c r="K43" s="17">
        <f>'Datos Actividad'!$M39*'FE Sectorial'!$H42*'FE Sectorial'!L42/1000/1000</f>
        <v>5360.1398739473698</v>
      </c>
      <c r="L43" s="17">
        <f>'Datos Actividad'!$M39*'FE Sectorial'!$H42*'FE Sectorial'!M42/1000/1000</f>
        <v>2680.0699369736849</v>
      </c>
      <c r="M43" s="17">
        <f>'Datos Actividad'!$M39*'FE Sectorial'!$H42*'FE Sectorial'!N42/1000/1000</f>
        <v>357.34265826315794</v>
      </c>
      <c r="N43" s="17">
        <f>'Datos Actividad'!$M39*'FE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1715887.9764480321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Actividad'!$M40*'FE Sectorial'!$H43*'FE Sectorial'!I43*'FE Sectorial'!P43/1000</f>
        <v>336415.62499999994</v>
      </c>
      <c r="I44" s="17">
        <f>'Datos Actividad'!$M40*'FE Sectorial'!$H43*'FE Sectorial'!J43/1000/1000</f>
        <v>3.520833333333333</v>
      </c>
      <c r="J44" s="17">
        <f>'Datos Actividad'!$M40*'FE Sectorial'!$H43*'FE Sectorial'!K43/1000/1000</f>
        <v>5.28125</v>
      </c>
      <c r="K44" s="17">
        <f>'Datos Actividad'!$M40*'FE Sectorial'!$H43*'FE Sectorial'!L43/1000/1000</f>
        <v>1056.2499999999998</v>
      </c>
      <c r="L44" s="17">
        <f>'Datos Actividad'!$M40*'FE Sectorial'!$H43*'FE Sectorial'!M43/1000/1000</f>
        <v>528.12499999999989</v>
      </c>
      <c r="M44" s="17">
        <f>'Datos Actividad'!$M40*'FE Sectorial'!$H43*'FE Sectorial'!N43/1000/1000</f>
        <v>70.416666666666657</v>
      </c>
      <c r="N44" s="17">
        <f>'Datos Actividad'!$M40*'FE Sectorial'!$H43*'FE Sectorial'!O43/1000/1000</f>
        <v>0</v>
      </c>
      <c r="O44" s="87">
        <f>IF(D44&lt;400,H44+I44*'Factores generales'!$M$41+J44*'Factores generales'!$N$41,I44*'Factores generales'!$M$41+J44*'Factores generales'!$N$41)</f>
        <v>338126.74999999994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1008323.1657766082</v>
      </c>
      <c r="I45" s="134">
        <f t="shared" ref="I45:O45" si="12">I46</f>
        <v>18.063994944000001</v>
      </c>
      <c r="J45" s="134">
        <f t="shared" si="12"/>
        <v>1.8063994944000001</v>
      </c>
      <c r="K45" s="134">
        <f t="shared" si="12"/>
        <v>2709.5992416000004</v>
      </c>
      <c r="L45" s="134">
        <f t="shared" si="12"/>
        <v>541.91984832000014</v>
      </c>
      <c r="M45" s="134">
        <f t="shared" si="12"/>
        <v>90.319974720000019</v>
      </c>
      <c r="N45" s="134">
        <f t="shared" si="12"/>
        <v>0</v>
      </c>
      <c r="O45" s="134">
        <f t="shared" si="12"/>
        <v>1009262.4935136962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Actividad'!$M42*'FE Sectorial'!$H45*'FE Sectorial'!I45*'FE Sectorial'!P45/1000</f>
        <v>1008323.1657766082</v>
      </c>
      <c r="I46" s="17">
        <f>'Datos Actividad'!$M42*'FE Sectorial'!$H45*'FE Sectorial'!J45/1000/1000</f>
        <v>18.063994944000001</v>
      </c>
      <c r="J46" s="17">
        <f>'Datos Actividad'!$M42*'FE Sectorial'!$H45*'FE Sectorial'!K45/1000/1000</f>
        <v>1.8063994944000001</v>
      </c>
      <c r="K46" s="17">
        <f>'Datos Actividad'!$M42*'FE Sectorial'!$H45*'FE Sectorial'!L45/1000/1000</f>
        <v>2709.5992416000004</v>
      </c>
      <c r="L46" s="17">
        <f>'Datos Actividad'!$M42*'FE Sectorial'!$H45*'FE Sectorial'!M45/1000/1000</f>
        <v>541.91984832000014</v>
      </c>
      <c r="M46" s="17">
        <f>'Datos Actividad'!$M42*'FE Sectorial'!$H45*'FE Sectorial'!N45/1000/1000</f>
        <v>90.319974720000019</v>
      </c>
      <c r="N46" s="17">
        <f>'Datos Actividad'!$M42*'FE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1009262.4935136962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1767721.2771224086</v>
      </c>
      <c r="I47" s="134">
        <f t="shared" ref="I47:O47" si="13">SUM(I48:I55)</f>
        <v>153.43623776350339</v>
      </c>
      <c r="J47" s="134">
        <f t="shared" si="13"/>
        <v>19.438088837650994</v>
      </c>
      <c r="K47" s="134">
        <f t="shared" si="13"/>
        <v>5151.3739408026277</v>
      </c>
      <c r="L47" s="134">
        <f t="shared" si="13"/>
        <v>17152.84434493713</v>
      </c>
      <c r="M47" s="134">
        <f t="shared" si="13"/>
        <v>360.56803868745146</v>
      </c>
      <c r="N47" s="134">
        <f t="shared" si="13"/>
        <v>27.883879999999998</v>
      </c>
      <c r="O47" s="134">
        <f t="shared" si="13"/>
        <v>1776969.2456551138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Actividad'!$M44*'FE Sectorial'!$H47*'FE Sectorial'!I47*'FE Sectorial'!P47/1000</f>
        <v>1734644.6357114087</v>
      </c>
      <c r="I48" s="17">
        <f>'Datos Actividad'!$M44*'FE Sectorial'!$H47*'FE Sectorial'!J47/1000/1000</f>
        <v>31.075961549483754</v>
      </c>
      <c r="J48" s="17">
        <f>'Datos Actividad'!$M44*'FE Sectorial'!$H47*'FE Sectorial'!K47/1000/1000</f>
        <v>3.1075961549483755</v>
      </c>
      <c r="K48" s="17">
        <f>'Datos Actividad'!$M44*'FE Sectorial'!$H47*'FE Sectorial'!L47/1000/1000</f>
        <v>4661.3942324225627</v>
      </c>
      <c r="L48" s="17">
        <f>'Datos Actividad'!$M44*'FE Sectorial'!$H47*'FE Sectorial'!M47/1000/1000</f>
        <v>932.27884648451254</v>
      </c>
      <c r="M48" s="17">
        <f>'Datos Actividad'!$M44*'FE Sectorial'!$H47*'FE Sectorial'!N47/1000/1000</f>
        <v>155.37980774741877</v>
      </c>
      <c r="N48" s="17">
        <f>'Datos Actividad'!$M44*'FE Sectorial'!$H47*'FE Sectorial'!O47/1000/1000</f>
        <v>0</v>
      </c>
      <c r="O48" s="87">
        <f>IF(D48&lt;400,H48+I48*'Factores generales'!$M$41+J48*'Factores generales'!$N$41,I48*'Factores generales'!$M$41+J48*'Factores generales'!$N$41)</f>
        <v>1736260.5857119819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Actividad'!$M45*'FE Sectorial'!$H48*'FE Sectorial'!I48*'FE Sectorial'!P48/1000</f>
        <v>14151.385908</v>
      </c>
      <c r="I49" s="17">
        <f>'Datos Actividad'!$M45*'FE Sectorial'!$H48*'FE Sectorial'!J48/1000/1000</f>
        <v>0.246918375</v>
      </c>
      <c r="J49" s="17">
        <f>'Datos Actividad'!$M45*'FE Sectorial'!$H48*'FE Sectorial'!K48/1000/1000</f>
        <v>2.4691837500000001E-2</v>
      </c>
      <c r="K49" s="17">
        <f>'Datos Actividad'!$M45*'FE Sectorial'!$H48*'FE Sectorial'!L48/1000/1000</f>
        <v>37.037756250000001</v>
      </c>
      <c r="L49" s="17">
        <f>'Datos Actividad'!$M45*'FE Sectorial'!$H48*'FE Sectorial'!M48/1000/1000</f>
        <v>7.40755125</v>
      </c>
      <c r="M49" s="17">
        <f>'Datos Actividad'!$M45*'FE Sectorial'!$H48*'FE Sectorial'!N48/1000/1000</f>
        <v>1.234591875</v>
      </c>
      <c r="N49" s="17">
        <f>'Datos Actividad'!$M45*'FE Sectorial'!$H48*'FE Sectorial'!O48/1000/1000</f>
        <v>0</v>
      </c>
      <c r="O49" s="87">
        <f>IF(D49&lt;400,H49+I49*'Factores generales'!$M$41+J49*'Factores generales'!$N$41,I49*'Factores generales'!$M$41+J49*'Factores generales'!$N$41)</f>
        <v>14164.225663500001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Actividad'!$M46*'FE Sectorial'!$H49*'FE Sectorial'!I49*'FE Sectorial'!P49/1000</f>
        <v>324.90701099999995</v>
      </c>
      <c r="I50" s="17">
        <f>'Datos Actividad'!$M46*'FE Sectorial'!$H49*'FE Sectorial'!J49/1000/1000</f>
        <v>1.3287E-2</v>
      </c>
      <c r="J50" s="17">
        <f>'Datos Actividad'!$M46*'FE Sectorial'!$H49*'FE Sectorial'!K49/1000/1000</f>
        <v>2.6573999999999999E-3</v>
      </c>
      <c r="K50" s="17">
        <f>'Datos Actividad'!$M46*'FE Sectorial'!$H49*'FE Sectorial'!L49/1000/1000</f>
        <v>0.88579999999999992</v>
      </c>
      <c r="L50" s="17">
        <f>'Datos Actividad'!$M46*'FE Sectorial'!$H49*'FE Sectorial'!M49/1000/1000</f>
        <v>4.4289999999999996E-2</v>
      </c>
      <c r="M50" s="17">
        <f>'Datos Actividad'!$M46*'FE Sectorial'!$H49*'FE Sectorial'!N49/1000/1000</f>
        <v>2.2144999999999998E-2</v>
      </c>
      <c r="N50" s="17">
        <f>'Datos Actividad'!$M46*'FE Sectorial'!$H49*'FE Sectorial'!O49/1000/1000</f>
        <v>0.16068000000000002</v>
      </c>
      <c r="O50" s="87">
        <f>IF(D50&lt;400,H50+I50*'Factores generales'!$M$41+J50*'Factores generales'!$N$41,I50*'Factores generales'!$M$41+J50*'Factores generales'!$N$41)</f>
        <v>326.00983199999996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Actividad'!$M47*'FE Sectorial'!$H50*'FE Sectorial'!I50*'FE Sectorial'!P50/1000</f>
        <v>8084.2882031999998</v>
      </c>
      <c r="I51" s="17">
        <f>'Datos Actividad'!$M47*'FE Sectorial'!$H50*'FE Sectorial'!J50/1000/1000</f>
        <v>0.12941279999999997</v>
      </c>
      <c r="J51" s="17">
        <f>'Datos Actividad'!$M47*'FE Sectorial'!$H50*'FE Sectorial'!K50/1000/1000</f>
        <v>1.2941279999999999E-2</v>
      </c>
      <c r="K51" s="17">
        <f>'Datos Actividad'!$M47*'FE Sectorial'!$H50*'FE Sectorial'!L50/1000/1000</f>
        <v>19.411919999999999</v>
      </c>
      <c r="L51" s="17">
        <f>'Datos Actividad'!$M47*'FE Sectorial'!$H50*'FE Sectorial'!M50/1000/1000</f>
        <v>3.8823839999999996</v>
      </c>
      <c r="M51" s="17">
        <f>'Datos Actividad'!$M47*'FE Sectorial'!$H50*'FE Sectorial'!N50/1000/1000</f>
        <v>0.64706399999999997</v>
      </c>
      <c r="N51" s="17">
        <f>'Datos Actividad'!$M47*'FE Sectorial'!$H50*'FE Sectorial'!O50/1000/1000</f>
        <v>0.54720000000000002</v>
      </c>
      <c r="O51" s="87">
        <f>IF(D51&lt;400,H51+I51*'Factores generales'!$M$41+J51*'Factores generales'!$N$41,I51*'Factores generales'!$M$41+J51*'Factores generales'!$N$41)</f>
        <v>8091.0176688000001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Actividad'!$M48*'FE Sectorial'!$H51*'FE Sectorial'!I51*'FE Sectorial'!P51/1000</f>
        <v>10516.060288799999</v>
      </c>
      <c r="I52" s="17">
        <f>'Datos Actividad'!$M48*'FE Sectorial'!$H51*'FE Sectorial'!J51/1000/1000</f>
        <v>0.41171639999999998</v>
      </c>
      <c r="J52" s="17">
        <f>'Datos Actividad'!$M48*'FE Sectorial'!$H51*'FE Sectorial'!K51/1000/1000</f>
        <v>8.2343279999999977E-2</v>
      </c>
      <c r="K52" s="17">
        <f>'Datos Actividad'!$M48*'FE Sectorial'!$H51*'FE Sectorial'!L51/1000/1000</f>
        <v>27.447759999999995</v>
      </c>
      <c r="L52" s="17">
        <f>'Datos Actividad'!$M48*'FE Sectorial'!$H51*'FE Sectorial'!M51/1000/1000</f>
        <v>1.3723879999999999</v>
      </c>
      <c r="M52" s="17">
        <f>'Datos Actividad'!$M48*'FE Sectorial'!$H51*'FE Sectorial'!N51/1000/1000</f>
        <v>0.68619399999999997</v>
      </c>
      <c r="N52" s="17">
        <f>'Datos Actividad'!$M48*'FE Sectorial'!$H51*'FE Sectorial'!O51/1000/1000</f>
        <v>27.175999999999998</v>
      </c>
      <c r="O52" s="87">
        <f>IF(D52&lt;400,H52+I52*'Factores generales'!$M$41+J52*'Factores generales'!$N$41,I52*'Factores generales'!$M$41+J52*'Factores generales'!$N$41)</f>
        <v>10550.232749999999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Actividad'!$M49*'FE Sectorial'!$H52*'FE Sectorial'!I52*'FE Sectorial'!P52/1000</f>
        <v>352520.93075315695</v>
      </c>
      <c r="I53" s="17">
        <f>'Datos Actividad'!$M49*'FE Sectorial'!$H52*'FE Sectorial'!J52/1000/1000</f>
        <v>121.55894163901964</v>
      </c>
      <c r="J53" s="17">
        <f>'Datos Actividad'!$M49*'FE Sectorial'!$H52*'FE Sectorial'!K52/1000/1000</f>
        <v>16.207858885202619</v>
      </c>
      <c r="K53" s="17">
        <f>'Datos Actividad'!$M49*'FE Sectorial'!$H52*'FE Sectorial'!L52/1000/1000</f>
        <v>405.19647213006544</v>
      </c>
      <c r="L53" s="17">
        <f>'Datos Actividad'!$M49*'FE Sectorial'!$H52*'FE Sectorial'!M52/1000/1000</f>
        <v>16207.858885202619</v>
      </c>
      <c r="M53" s="17">
        <f>'Datos Actividad'!$M49*'FE Sectorial'!$H52*'FE Sectorial'!N52/1000/1000</f>
        <v>202.59823606503272</v>
      </c>
      <c r="N53" s="17">
        <f>'Datos Actividad'!$M49*'FE Sectorial'!$H52*'FE Sectorial'!O52/1000/1000</f>
        <v>0</v>
      </c>
      <c r="O53" s="87">
        <f>IF(D53&lt;400,H53+I53*'Factores generales'!$M$41+J53*'Factores generales'!$N$41,I53*'Factores generales'!$M$41+J53*'Factores generales'!$N$41)</f>
        <v>7577.1740288322235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Actividad'!$M50*'FE Sectorial'!$H53*'FE Sectorial'!I53*'FE Sectorial'!P53/1000</f>
        <v>0</v>
      </c>
      <c r="I54" s="17">
        <f>'Datos Actividad'!$M50*'FE Sectorial'!$H53*'FE Sectorial'!J53/1000/1000</f>
        <v>0</v>
      </c>
      <c r="J54" s="17">
        <f>'Datos Actividad'!$M50*'FE Sectorial'!$H53*'FE Sectorial'!K53/1000/1000</f>
        <v>0</v>
      </c>
      <c r="K54" s="17">
        <f>'Datos Actividad'!$M50*'FE Sectorial'!$H53*'FE Sectorial'!L53/1000/1000</f>
        <v>0</v>
      </c>
      <c r="L54" s="17">
        <f>'Datos Actividad'!$M50*'FE Sectorial'!$H53*'FE Sectorial'!M53/1000/1000</f>
        <v>0</v>
      </c>
      <c r="M54" s="17">
        <f>'Datos Actividad'!$M50*'FE Sectorial'!$H53*'FE Sectorial'!N53/1000/1000</f>
        <v>0</v>
      </c>
      <c r="N54" s="17">
        <f>'Datos Actividad'!$M50*'FE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Actividad'!$M51*'FE Sectorial'!$H54*'FE Sectorial'!I54*'FE Sectorial'!P54/1000</f>
        <v>0</v>
      </c>
      <c r="I55" s="17">
        <f>'Datos Actividad'!$M51*'FE Sectorial'!$H54*'FE Sectorial'!J54/1000/1000</f>
        <v>0</v>
      </c>
      <c r="J55" s="17">
        <f>'Datos Actividad'!$M51*'FE Sectorial'!$H54*'FE Sectorial'!K54/1000/1000</f>
        <v>0</v>
      </c>
      <c r="K55" s="17">
        <f>'Datos Actividad'!$M51*'FE Sectorial'!$H54*'FE Sectorial'!L54/1000/1000</f>
        <v>0</v>
      </c>
      <c r="L55" s="17">
        <f>'Datos Actividad'!$M51*'FE Sectorial'!$H54*'FE Sectorial'!M54/1000/1000</f>
        <v>0</v>
      </c>
      <c r="M55" s="17">
        <f>'Datos Actividad'!$M51*'FE Sectorial'!$H54*'FE Sectorial'!N54/1000/1000</f>
        <v>0</v>
      </c>
      <c r="N55" s="17">
        <f>'Datos Actividad'!$M51*'FE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824263.68317356799</v>
      </c>
      <c r="I56" s="134">
        <f>SUM(I57:I62)</f>
        <v>644.31516846301963</v>
      </c>
      <c r="J56" s="134">
        <f t="shared" ref="J56:O56" si="14">SUM(J57:J62)</f>
        <v>85.858346587602611</v>
      </c>
      <c r="K56" s="134">
        <f t="shared" si="14"/>
        <v>4293.1100877300651</v>
      </c>
      <c r="L56" s="134">
        <f t="shared" si="14"/>
        <v>74498.779011922627</v>
      </c>
      <c r="M56" s="134">
        <f t="shared" si="14"/>
        <v>1114.8533481850327</v>
      </c>
      <c r="N56" s="134">
        <f t="shared" si="14"/>
        <v>1565.85744</v>
      </c>
      <c r="O56" s="134">
        <f t="shared" si="14"/>
        <v>864410.38915344817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Actividad'!$M53*'FE Sectorial'!$H56*'FE Sectorial'!I56*'FE Sectorial'!P56/1000</f>
        <v>686491.66769356793</v>
      </c>
      <c r="I57" s="17">
        <f>'Datos Actividad'!$M53*'FE Sectorial'!$H56*'FE Sectorial'!J56/1000/1000</f>
        <v>12.298420223999999</v>
      </c>
      <c r="J57" s="17">
        <f>'Datos Actividad'!$M53*'FE Sectorial'!$H56*'FE Sectorial'!K56/1000/1000</f>
        <v>1.2298420224</v>
      </c>
      <c r="K57" s="17">
        <f>'Datos Actividad'!$M53*'FE Sectorial'!$H56*'FE Sectorial'!L56/1000/1000</f>
        <v>1844.7630336</v>
      </c>
      <c r="L57" s="17">
        <f>'Datos Actividad'!$M53*'FE Sectorial'!$H56*'FE Sectorial'!M56/1000/1000</f>
        <v>368.95260672000001</v>
      </c>
      <c r="M57" s="17">
        <f>'Datos Actividad'!$M53*'FE Sectorial'!$H56*'FE Sectorial'!N56/1000/1000</f>
        <v>61.492101120000001</v>
      </c>
      <c r="N57" s="17">
        <f>'Datos Actividad'!$M53*'FE Sectorial'!$H56*'FE Sectorial'!O56/1000/1000</f>
        <v>0</v>
      </c>
      <c r="O57" s="87">
        <f>IF(D57&lt;400,H57+I57*'Factores generales'!$M$41+J57*'Factores generales'!$N$41,I57*'Factores generales'!$M$41+J57*'Factores generales'!$N$41)</f>
        <v>687131.18554521597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Actividad'!$M54*'FE Sectorial'!$H57*'FE Sectorial'!I57*'FE Sectorial'!P57/1000</f>
        <v>75.706487999999993</v>
      </c>
      <c r="I58" s="17">
        <f>'Datos Actividad'!$M54*'FE Sectorial'!$H57*'FE Sectorial'!J57/1000/1000</f>
        <v>3.0960000000000002E-3</v>
      </c>
      <c r="J58" s="17">
        <f>'Datos Actividad'!$M54*'FE Sectorial'!$H57*'FE Sectorial'!K57/1000/1000</f>
        <v>6.1919999999999998E-4</v>
      </c>
      <c r="K58" s="17">
        <f>'Datos Actividad'!$M54*'FE Sectorial'!$H57*'FE Sectorial'!L57/1000/1000</f>
        <v>0.2064</v>
      </c>
      <c r="L58" s="17">
        <f>'Datos Actividad'!$M54*'FE Sectorial'!$H57*'FE Sectorial'!M57/1000/1000</f>
        <v>1.0320000000000001E-2</v>
      </c>
      <c r="M58" s="17">
        <f>'Datos Actividad'!$M54*'FE Sectorial'!$H57*'FE Sectorial'!N57/1000/1000</f>
        <v>5.1600000000000005E-3</v>
      </c>
      <c r="N58" s="17">
        <f>'Datos Actividad'!$M54*'FE Sectorial'!$H57*'FE Sectorial'!O57/1000/1000</f>
        <v>3.7440000000000001E-2</v>
      </c>
      <c r="O58" s="87">
        <f>IF(D58&lt;400,H58+I58*'Factores generales'!$M$41+J58*'Factores generales'!$N$41,I58*'Factores generales'!$M$41+J58*'Factores generales'!$N$41)</f>
        <v>75.963455999999994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Actividad'!$M55*'FE Sectorial'!$H58*'FE Sectorial'!I58*'FE Sectorial'!P58/1000</f>
        <v>137696.30899200001</v>
      </c>
      <c r="I59" s="17">
        <f>'Datos Actividad'!$M55*'FE Sectorial'!$H58*'FE Sectorial'!J58/1000/1000</f>
        <v>5.3909759999999993</v>
      </c>
      <c r="J59" s="17">
        <f>'Datos Actividad'!$M55*'FE Sectorial'!$H58*'FE Sectorial'!K58/1000/1000</f>
        <v>1.0781951999999999</v>
      </c>
      <c r="K59" s="17">
        <f>'Datos Actividad'!$M55*'FE Sectorial'!$H58*'FE Sectorial'!L58/1000/1000</f>
        <v>359.39840000000004</v>
      </c>
      <c r="L59" s="17">
        <f>'Datos Actividad'!$M55*'FE Sectorial'!$H58*'FE Sectorial'!M58/1000/1000</f>
        <v>17.969919999999998</v>
      </c>
      <c r="M59" s="17">
        <f>'Datos Actividad'!$M55*'FE Sectorial'!$H58*'FE Sectorial'!N58/1000/1000</f>
        <v>8.9849599999999992</v>
      </c>
      <c r="N59" s="17">
        <f>'Datos Actividad'!$M55*'FE Sectorial'!$H58*'FE Sectorial'!O58/1000/1000</f>
        <v>355.84</v>
      </c>
      <c r="O59" s="87">
        <f>IF(D59&lt;400,H59+I59*'Factores generales'!$M$41+J59*'Factores generales'!$N$41,I59*'Factores generales'!$M$41+J59*'Factores generales'!$N$41)</f>
        <v>138143.76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Actividad'!$M56*'FE Sectorial'!$H59*'FE Sectorial'!I59*'FE Sectorial'!P59/1000</f>
        <v>721040.04593999998</v>
      </c>
      <c r="I60" s="17">
        <f>'Datos Actividad'!$M56*'FE Sectorial'!$H59*'FE Sectorial'!J59/1000/1000</f>
        <v>248.63449859999997</v>
      </c>
      <c r="J60" s="17">
        <f>'Datos Actividad'!$M56*'FE Sectorial'!$H59*'FE Sectorial'!K59/1000/1000</f>
        <v>33.151266479999997</v>
      </c>
      <c r="K60" s="17">
        <f>'Datos Actividad'!$M56*'FE Sectorial'!$H59*'FE Sectorial'!L59/1000/1000</f>
        <v>828.78166199999987</v>
      </c>
      <c r="L60" s="17">
        <f>'Datos Actividad'!$M56*'FE Sectorial'!$H59*'FE Sectorial'!M59/1000/1000</f>
        <v>33151.266479999998</v>
      </c>
      <c r="M60" s="17">
        <f>'Datos Actividad'!$M56*'FE Sectorial'!$H59*'FE Sectorial'!N59/1000/1000</f>
        <v>414.39083099999993</v>
      </c>
      <c r="N60" s="17">
        <f>'Datos Actividad'!$M56*'FE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15498.217079399998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Actividad'!$M57*'FE Sectorial'!$H60*'FE Sectorial'!I60*'FE Sectorial'!P60/1000</f>
        <v>459811.75968000002</v>
      </c>
      <c r="I61" s="17">
        <f>'Datos Actividad'!$M57*'FE Sectorial'!$H60*'FE Sectorial'!J60/1000/1000</f>
        <v>141.56765999999999</v>
      </c>
      <c r="J61" s="17">
        <f>'Datos Actividad'!$M57*'FE Sectorial'!$H60*'FE Sectorial'!K60/1000/1000</f>
        <v>18.875687999999997</v>
      </c>
      <c r="K61" s="17">
        <f>'Datos Actividad'!$M57*'FE Sectorial'!$H60*'FE Sectorial'!L60/1000/1000</f>
        <v>471.8922</v>
      </c>
      <c r="L61" s="17">
        <f>'Datos Actividad'!$M57*'FE Sectorial'!$H60*'FE Sectorial'!M60/1000/1000</f>
        <v>9437.8439999999991</v>
      </c>
      <c r="M61" s="17">
        <f>'Datos Actividad'!$M57*'FE Sectorial'!$H60*'FE Sectorial'!N60/1000/1000</f>
        <v>235.9461</v>
      </c>
      <c r="N61" s="17">
        <f>'Datos Actividad'!$M57*'FE Sectorial'!$H60*'FE Sectorial'!O60/1000/1000</f>
        <v>1209.98</v>
      </c>
      <c r="O61" s="87">
        <f>IF(D61&lt;400,H61+I61*'Factores generales'!$M$41+J61*'Factores generales'!$N$41,I61*'Factores generales'!$M$41+J61*'Factores generales'!$N$41)</f>
        <v>8824.3841399999983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Actividad'!$M58*'FE Sectorial'!$H61*'FE Sectorial'!I61*'FE Sectorial'!P61/1000</f>
        <v>685619.50115315698</v>
      </c>
      <c r="I62" s="17">
        <f>'Datos Actividad'!$M58*'FE Sectorial'!$H61*'FE Sectorial'!J61/1000/1000</f>
        <v>236.42051763901966</v>
      </c>
      <c r="J62" s="17">
        <f>'Datos Actividad'!$M58*'FE Sectorial'!$H61*'FE Sectorial'!K61/1000/1000</f>
        <v>31.522735685202619</v>
      </c>
      <c r="K62" s="17">
        <f>'Datos Actividad'!$M58*'FE Sectorial'!$H61*'FE Sectorial'!L61/1000/1000</f>
        <v>788.0683921300656</v>
      </c>
      <c r="L62" s="17">
        <f>'Datos Actividad'!$M58*'FE Sectorial'!$H61*'FE Sectorial'!M61/1000/1000</f>
        <v>31522.735685202621</v>
      </c>
      <c r="M62" s="17">
        <f>'Datos Actividad'!$M58*'FE Sectorial'!$H61*'FE Sectorial'!N61/1000/1000</f>
        <v>394.0341960650328</v>
      </c>
      <c r="N62" s="17">
        <f>'Datos Actividad'!$M58*'FE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14736.878932832225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2966520.4358510161</v>
      </c>
      <c r="I63" s="134">
        <f>SUM(I64:I69)</f>
        <v>1606.6335573270198</v>
      </c>
      <c r="J63" s="134">
        <f t="shared" ref="J63:O63" si="15">SUM(J64:J69)</f>
        <v>212.47331759400262</v>
      </c>
      <c r="K63" s="134">
        <f t="shared" si="15"/>
        <v>13149.238673330065</v>
      </c>
      <c r="L63" s="134">
        <f t="shared" si="15"/>
        <v>208640.5005378426</v>
      </c>
      <c r="M63" s="134">
        <f t="shared" si="15"/>
        <v>2854.3779045050328</v>
      </c>
      <c r="N63" s="134">
        <f t="shared" si="15"/>
        <v>20.569119999999998</v>
      </c>
      <c r="O63" s="134">
        <f t="shared" si="15"/>
        <v>3066126.4690090246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Actividad'!$M60*'FE Sectorial'!$H63*'FE Sectorial'!I63*'FE Sectorial'!P63/1000</f>
        <v>2958243.3055478162</v>
      </c>
      <c r="I64" s="17">
        <f>'Datos Actividad'!$M60*'FE Sectorial'!$H63*'FE Sectorial'!J63/1000/1000</f>
        <v>52.996592688000007</v>
      </c>
      <c r="J64" s="17">
        <f>'Datos Actividad'!$M60*'FE Sectorial'!$H63*'FE Sectorial'!K63/1000/1000</f>
        <v>5.299659268800001</v>
      </c>
      <c r="K64" s="17">
        <f>'Datos Actividad'!$M60*'FE Sectorial'!$H63*'FE Sectorial'!L63/1000/1000</f>
        <v>7949.4889031999992</v>
      </c>
      <c r="L64" s="17">
        <f>'Datos Actividad'!$M60*'FE Sectorial'!$H63*'FE Sectorial'!M63/1000/1000</f>
        <v>1589.8977806400001</v>
      </c>
      <c r="M64" s="17">
        <f>'Datos Actividad'!$M60*'FE Sectorial'!$H63*'FE Sectorial'!N63/1000/1000</f>
        <v>264.98296344000005</v>
      </c>
      <c r="N64" s="17">
        <f>'Datos Actividad'!$M60*'FE Sectorial'!$H63*'FE Sectorial'!O63/1000/1000</f>
        <v>0</v>
      </c>
      <c r="O64" s="87">
        <f>IF(D64&lt;400,H64+I64*'Factores generales'!$M$41+J64*'Factores generales'!$N$41,I64*'Factores generales'!$M$41+J64*'Factores generales'!$N$41)</f>
        <v>2960999.1283675921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Actividad'!$M61*'FE Sectorial'!$H64*'FE Sectorial'!I64*'FE Sectorial'!P64/1000</f>
        <v>3949.3551239999993</v>
      </c>
      <c r="I65" s="17">
        <f>'Datos Actividad'!$M61*'FE Sectorial'!$H64*'FE Sectorial'!J64/1000/1000</f>
        <v>0.16150800000000001</v>
      </c>
      <c r="J65" s="17">
        <f>'Datos Actividad'!$M61*'FE Sectorial'!$H64*'FE Sectorial'!K64/1000/1000</f>
        <v>3.23016E-2</v>
      </c>
      <c r="K65" s="17">
        <f>'Datos Actividad'!$M61*'FE Sectorial'!$H64*'FE Sectorial'!L64/1000/1000</f>
        <v>10.767200000000001</v>
      </c>
      <c r="L65" s="17">
        <f>'Datos Actividad'!$M61*'FE Sectorial'!$H64*'FE Sectorial'!M64/1000/1000</f>
        <v>0.53836000000000006</v>
      </c>
      <c r="M65" s="17">
        <f>'Datos Actividad'!$M61*'FE Sectorial'!$H64*'FE Sectorial'!N64/1000/1000</f>
        <v>0.26918000000000003</v>
      </c>
      <c r="N65" s="17">
        <f>'Datos Actividad'!$M61*'FE Sectorial'!$H64*'FE Sectorial'!O64/1000/1000</f>
        <v>1.95312</v>
      </c>
      <c r="O65" s="87">
        <f>IF(D65&lt;400,H65+I65*'Factores generales'!$M$41+J65*'Factores generales'!$N$41,I65*'Factores generales'!$M$41+J65*'Factores generales'!$N$41)</f>
        <v>3962.7602879999995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Actividad'!$M62*'FE Sectorial'!$H65*'FE Sectorial'!I65*'FE Sectorial'!P65/1000</f>
        <v>4327.7751791999999</v>
      </c>
      <c r="I66" s="17">
        <f>'Datos Actividad'!$M62*'FE Sectorial'!$H65*'FE Sectorial'!J65/1000/1000</f>
        <v>0.16943759999999997</v>
      </c>
      <c r="J66" s="17">
        <f>'Datos Actividad'!$M62*'FE Sectorial'!$H65*'FE Sectorial'!K65/1000/1000</f>
        <v>3.3887519999999997E-2</v>
      </c>
      <c r="K66" s="17">
        <f>'Datos Actividad'!$M62*'FE Sectorial'!$H65*'FE Sectorial'!L65/1000/1000</f>
        <v>11.29584</v>
      </c>
      <c r="L66" s="17">
        <f>'Datos Actividad'!$M62*'FE Sectorial'!$H65*'FE Sectorial'!M65/1000/1000</f>
        <v>0.56479200000000007</v>
      </c>
      <c r="M66" s="17">
        <f>'Datos Actividad'!$M62*'FE Sectorial'!$H65*'FE Sectorial'!N65/1000/1000</f>
        <v>0.28239600000000004</v>
      </c>
      <c r="N66" s="17">
        <f>'Datos Actividad'!$M62*'FE Sectorial'!$H65*'FE Sectorial'!O65/1000/1000</f>
        <v>11.183999999999999</v>
      </c>
      <c r="O66" s="87">
        <f>IF(D66&lt;400,H66+I66*'Factores generales'!$M$41+J66*'Factores generales'!$N$41,I66*'Factores generales'!$M$41+J66*'Factores generales'!$N$41)</f>
        <v>4341.8384999999998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Actividad'!$M63*'FE Sectorial'!$H66*'FE Sectorial'!I66*'FE Sectorial'!P66/1000</f>
        <v>4085893.5936599998</v>
      </c>
      <c r="I67" s="17">
        <f>'Datos Actividad'!$M63*'FE Sectorial'!$H66*'FE Sectorial'!J66/1000/1000</f>
        <v>1408.9288254000003</v>
      </c>
      <c r="J67" s="17">
        <f>'Datos Actividad'!$M63*'FE Sectorial'!$H66*'FE Sectorial'!K66/1000/1000</f>
        <v>187.85717671999998</v>
      </c>
      <c r="K67" s="17">
        <f>'Datos Actividad'!$M63*'FE Sectorial'!$H66*'FE Sectorial'!L66/1000/1000</f>
        <v>4696.4294179999997</v>
      </c>
      <c r="L67" s="17">
        <f>'Datos Actividad'!$M63*'FE Sectorial'!$H66*'FE Sectorial'!M66/1000/1000</f>
        <v>187857.17671999999</v>
      </c>
      <c r="M67" s="17">
        <f>'Datos Actividad'!$M63*'FE Sectorial'!$H66*'FE Sectorial'!N66/1000/1000</f>
        <v>2348.2147089999999</v>
      </c>
      <c r="N67" s="17">
        <f>'Datos Actividad'!$M63*'FE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87823.230116599996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Actividad'!$M64*'FE Sectorial'!$H67*'FE Sectorial'!I67*'FE Sectorial'!P67/1000</f>
        <v>2824.2789120000002</v>
      </c>
      <c r="I68" s="17">
        <f>'Datos Actividad'!$M64*'FE Sectorial'!$H67*'FE Sectorial'!J67/1000/1000</f>
        <v>0.86954399999999998</v>
      </c>
      <c r="J68" s="17">
        <f>'Datos Actividad'!$M64*'FE Sectorial'!$H67*'FE Sectorial'!K67/1000/1000</f>
        <v>0.11593920000000001</v>
      </c>
      <c r="K68" s="17">
        <f>'Datos Actividad'!$M64*'FE Sectorial'!$H67*'FE Sectorial'!L67/1000/1000</f>
        <v>2.8984800000000002</v>
      </c>
      <c r="L68" s="17">
        <f>'Datos Actividad'!$M64*'FE Sectorial'!$H67*'FE Sectorial'!M67/1000/1000</f>
        <v>57.9696</v>
      </c>
      <c r="M68" s="17">
        <f>'Datos Actividad'!$M64*'FE Sectorial'!$H67*'FE Sectorial'!N67/1000/1000</f>
        <v>1.4492400000000001</v>
      </c>
      <c r="N68" s="17">
        <f>'Datos Actividad'!$M64*'FE Sectorial'!$H67*'FE Sectorial'!O67/1000/1000</f>
        <v>7.4320000000000004</v>
      </c>
      <c r="O68" s="87">
        <f>IF(D68&lt;400,H68+I68*'Factores generales'!$M$41+J68*'Factores generales'!$N$41,I68*'Factores generales'!$M$41+J68*'Factores generales'!$N$41)</f>
        <v>54.201576000000003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Actividad'!$M65*'FE Sectorial'!$H68*'FE Sectorial'!I68*'FE Sectorial'!P68/1000</f>
        <v>416172.18395315693</v>
      </c>
      <c r="I69" s="17">
        <f>'Datos Actividad'!$M65*'FE Sectorial'!$H68*'FE Sectorial'!J68/1000/1000</f>
        <v>143.50764963901963</v>
      </c>
      <c r="J69" s="17">
        <f>'Datos Actividad'!$M65*'FE Sectorial'!$H68*'FE Sectorial'!K68/1000/1000</f>
        <v>19.134353285202618</v>
      </c>
      <c r="K69" s="17">
        <f>'Datos Actividad'!$M65*'FE Sectorial'!$H68*'FE Sectorial'!L68/1000/1000</f>
        <v>478.35883213006542</v>
      </c>
      <c r="L69" s="17">
        <f>'Datos Actividad'!$M65*'FE Sectorial'!$H68*'FE Sectorial'!M68/1000/1000</f>
        <v>19134.353285202618</v>
      </c>
      <c r="M69" s="17">
        <f>'Datos Actividad'!$M65*'FE Sectorial'!$H68*'FE Sectorial'!N68/1000/1000</f>
        <v>239.17941606503271</v>
      </c>
      <c r="N69" s="17">
        <f>'Datos Actividad'!$M65*'FE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8945.3101608322249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8028072.2314433903</v>
      </c>
      <c r="I70" s="134">
        <f t="shared" si="16"/>
        <v>578.35488248073091</v>
      </c>
      <c r="J70" s="134">
        <f t="shared" si="16"/>
        <v>82.227538864824623</v>
      </c>
      <c r="K70" s="134">
        <f t="shared" si="16"/>
        <v>23113.05528645208</v>
      </c>
      <c r="L70" s="134">
        <f t="shared" si="16"/>
        <v>39935.519573293619</v>
      </c>
      <c r="M70" s="134">
        <f t="shared" si="16"/>
        <v>1489.8037923763716</v>
      </c>
      <c r="N70" s="134">
        <f t="shared" si="16"/>
        <v>3352.9787128187427</v>
      </c>
      <c r="O70" s="134">
        <f t="shared" si="16"/>
        <v>8065708.2210235819</v>
      </c>
    </row>
    <row r="71" spans="1:15" outlineLevel="1" x14ac:dyDescent="0.25">
      <c r="B71" s="1" t="s">
        <v>36</v>
      </c>
      <c r="G71" s="1"/>
      <c r="H71" s="15">
        <f>H72+H73+H74+H76</f>
        <v>3050751.2822309118</v>
      </c>
      <c r="I71" s="15">
        <f>SUM(I72:I76)</f>
        <v>203.42974551574835</v>
      </c>
      <c r="J71" s="15">
        <f t="shared" ref="J71:O71" si="17">SUM(J72:J76)</f>
        <v>33.787696030005051</v>
      </c>
      <c r="K71" s="15">
        <f t="shared" si="17"/>
        <v>8965.5534896114423</v>
      </c>
      <c r="L71" s="15">
        <f t="shared" si="17"/>
        <v>12424.504192850945</v>
      </c>
      <c r="M71" s="15">
        <f t="shared" si="17"/>
        <v>596.32262024887882</v>
      </c>
      <c r="N71" s="15">
        <f t="shared" si="17"/>
        <v>1308.3788243478266</v>
      </c>
      <c r="O71" s="15">
        <f t="shared" si="17"/>
        <v>3065497.4926560442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Actividad'!$M68*'FE Sectorial'!$H71*'FE Sectorial'!I71*'FE Sectorial'!P71/1000</f>
        <v>2479809.3633688325</v>
      </c>
      <c r="I72" s="17">
        <f>'Datos Actividad'!$M68*'FE Sectorial'!$H71*'FE Sectorial'!J71/1000/1000</f>
        <v>44.425502976000004</v>
      </c>
      <c r="J72" s="17">
        <f>'Datos Actividad'!$M68*'FE Sectorial'!$H71*'FE Sectorial'!K71/1000/1000</f>
        <v>4.4425502975999995</v>
      </c>
      <c r="K72" s="17">
        <f>'Datos Actividad'!$M68*'FE Sectorial'!$H71*'FE Sectorial'!L71/1000/1000</f>
        <v>6663.8254464000011</v>
      </c>
      <c r="L72" s="17">
        <f>'Datos Actividad'!$M68*'FE Sectorial'!$H71*'FE Sectorial'!M71/1000/1000</f>
        <v>1332.7650892800002</v>
      </c>
      <c r="M72" s="17">
        <f>'Datos Actividad'!$M68*'FE Sectorial'!$H71*'FE Sectorial'!N71/1000/1000</f>
        <v>222.12751488000004</v>
      </c>
      <c r="N72" s="17">
        <f>'Datos Actividad'!$M68*'FE Sectorial'!$H71*'FE Sectorial'!O71/1000/1000</f>
        <v>0</v>
      </c>
      <c r="O72" s="87">
        <f>IF(D72&lt;400,H72+I72*'Factores generales'!$M$41+J72*'Factores generales'!$N$41,I72*'Factores generales'!$M$41+J72*'Factores generales'!$N$41)</f>
        <v>2482119.4895235845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Actividad'!$M69*'FE Sectorial'!$H72*'FE Sectorial'!I72*'FE Sectorial'!P72/1000</f>
        <v>1873.735578</v>
      </c>
      <c r="I73" s="17">
        <f>'Datos Actividad'!$M69*'FE Sectorial'!$H72*'FE Sectorial'!J72/1000/1000</f>
        <v>7.6626E-2</v>
      </c>
      <c r="J73" s="17">
        <f>'Datos Actividad'!$M69*'FE Sectorial'!$H72*'FE Sectorial'!K72/1000/1000</f>
        <v>1.5325199999999999E-2</v>
      </c>
      <c r="K73" s="17">
        <f>'Datos Actividad'!$M69*'FE Sectorial'!$H72*'FE Sectorial'!L72/1000/1000</f>
        <v>5.1083999999999996</v>
      </c>
      <c r="L73" s="17">
        <f>'Datos Actividad'!$M69*'FE Sectorial'!$H72*'FE Sectorial'!M72/1000/1000</f>
        <v>0.25541999999999998</v>
      </c>
      <c r="M73" s="17">
        <f>'Datos Actividad'!$M69*'FE Sectorial'!$H72*'FE Sectorial'!N72/1000/1000</f>
        <v>0.12770999999999999</v>
      </c>
      <c r="N73" s="17">
        <f>'Datos Actividad'!$M69*'FE Sectorial'!$H72*'FE Sectorial'!O72/1000/1000</f>
        <v>0.92664000000000002</v>
      </c>
      <c r="O73" s="87">
        <f>IF(D73&lt;400,H73+I73*'Factores generales'!$M$41+J73*'Factores generales'!$N$41,I73*'Factores generales'!$M$41+J73*'Factores generales'!$N$41)</f>
        <v>1880.095536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Actividad'!$M70*'FE Sectorial'!$H73*'FE Sectorial'!I73*'FE Sectorial'!P73/1000</f>
        <v>569068.18328407907</v>
      </c>
      <c r="I74" s="17">
        <f>'Datos Actividad'!$M70*'FE Sectorial'!$H73*'FE Sectorial'!J73/1000/1000</f>
        <v>5.9557109710526337</v>
      </c>
      <c r="J74" s="17">
        <f>'Datos Actividad'!$M70*'FE Sectorial'!$H73*'FE Sectorial'!K73/1000/1000</f>
        <v>8.9335664565789514</v>
      </c>
      <c r="K74" s="17">
        <f>'Datos Actividad'!$M70*'FE Sectorial'!$H73*'FE Sectorial'!L73/1000/1000</f>
        <v>1786.7132913157902</v>
      </c>
      <c r="L74" s="17">
        <f>'Datos Actividad'!$M70*'FE Sectorial'!$H73*'FE Sectorial'!M73/1000/1000</f>
        <v>893.35664565789511</v>
      </c>
      <c r="M74" s="17">
        <f>'Datos Actividad'!$M70*'FE Sectorial'!$H73*'FE Sectorial'!N73/1000/1000</f>
        <v>119.11421942105267</v>
      </c>
      <c r="N74" s="17">
        <f>'Datos Actividad'!$M70*'FE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571962.65881601069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Actividad'!$M71*'FE Sectorial'!$H74*'FE Sectorial'!I74*'FE Sectorial'!P74/1000</f>
        <v>496852.74928712368</v>
      </c>
      <c r="I75" s="17">
        <f>'Datos Actividad'!$M71*'FE Sectorial'!$H74*'FE Sectorial'!J74/1000/1000</f>
        <v>152.97190556869572</v>
      </c>
      <c r="J75" s="17">
        <f>'Datos Actividad'!$M71*'FE Sectorial'!$H74*'FE Sectorial'!K74/1000/1000</f>
        <v>20.3962540758261</v>
      </c>
      <c r="K75" s="17">
        <f>'Datos Actividad'!$M71*'FE Sectorial'!$H74*'FE Sectorial'!L74/1000/1000</f>
        <v>509.90635189565239</v>
      </c>
      <c r="L75" s="17">
        <f>'Datos Actividad'!$M71*'FE Sectorial'!$H74*'FE Sectorial'!M74/1000/1000</f>
        <v>10198.127037913049</v>
      </c>
      <c r="M75" s="17">
        <f>'Datos Actividad'!$M71*'FE Sectorial'!$H74*'FE Sectorial'!N74/1000/1000</f>
        <v>254.9531759478262</v>
      </c>
      <c r="N75" s="17">
        <f>'Datos Actividad'!$M71*'FE Sectorial'!$H74*'FE Sectorial'!O74/1000/1000</f>
        <v>1307.4521843478267</v>
      </c>
      <c r="O75" s="87">
        <f>IF(D75&lt;400,H75+I75*'Factores generales'!$M$41+J75*'Factores generales'!$N$41,I75*'Factores generales'!$M$41+J75*'Factores generales'!$N$41)</f>
        <v>9535.2487804487009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Actividad'!$M72*'FE Sectorial'!$H75*'FE Sectorial'!I75*'FE Sectorial'!P75/1000</f>
        <v>0</v>
      </c>
      <c r="I76" s="17">
        <f>'Datos Actividad'!$M72*'FE Sectorial'!$H75*'FE Sectorial'!J75/1000/1000</f>
        <v>0</v>
      </c>
      <c r="J76" s="17">
        <f>'Datos Actividad'!$M72*'FE Sectorial'!$H75*'FE Sectorial'!K75/1000/1000</f>
        <v>0</v>
      </c>
      <c r="K76" s="17">
        <f>'Datos Actividad'!$M72*'FE Sectorial'!$H75*'FE Sectorial'!L75/1000/1000</f>
        <v>0</v>
      </c>
      <c r="L76" s="17">
        <f>'Datos Actividad'!$M72*'FE Sectorial'!$H75*'FE Sectorial'!M75/1000/1000</f>
        <v>0</v>
      </c>
      <c r="M76" s="17">
        <f>'Datos Actividad'!$M72*'FE Sectorial'!$H75*'FE Sectorial'!N75/1000/1000</f>
        <v>0</v>
      </c>
      <c r="N76" s="17">
        <f>'Datos Actividad'!$M72*'FE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97182.066721608004</v>
      </c>
      <c r="I77" s="15">
        <f t="shared" si="18"/>
        <v>1.7425279440000001</v>
      </c>
      <c r="J77" s="15">
        <f t="shared" si="18"/>
        <v>0.17452369440000001</v>
      </c>
      <c r="K77" s="15">
        <f t="shared" si="18"/>
        <v>261.15344160000006</v>
      </c>
      <c r="L77" s="15">
        <f t="shared" si="18"/>
        <v>52.203598320000012</v>
      </c>
      <c r="M77" s="15">
        <f t="shared" si="18"/>
        <v>8.7036097200000011</v>
      </c>
      <c r="N77" s="15">
        <f t="shared" si="18"/>
        <v>3.2759999999999997E-2</v>
      </c>
      <c r="O77" s="15">
        <f t="shared" si="18"/>
        <v>97272.762153696007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Actividad'!$M74*'FE Sectorial'!$H77*'FE Sectorial'!I77*'FE Sectorial'!P77/1000</f>
        <v>97115.823544608007</v>
      </c>
      <c r="I78" s="17">
        <f>'Datos Actividad'!$M74*'FE Sectorial'!$H77*'FE Sectorial'!J77/1000/1000</f>
        <v>1.739818944</v>
      </c>
      <c r="J78" s="17">
        <f>'Datos Actividad'!$M74*'FE Sectorial'!$H77*'FE Sectorial'!K77/1000/1000</f>
        <v>0.1739818944</v>
      </c>
      <c r="K78" s="17">
        <f>'Datos Actividad'!$M74*'FE Sectorial'!$H77*'FE Sectorial'!L77/1000/1000</f>
        <v>260.97284160000004</v>
      </c>
      <c r="L78" s="17">
        <f>'Datos Actividad'!$M74*'FE Sectorial'!$H77*'FE Sectorial'!M77/1000/1000</f>
        <v>52.194568320000009</v>
      </c>
      <c r="M78" s="17">
        <f>'Datos Actividad'!$M74*'FE Sectorial'!$H77*'FE Sectorial'!N77/1000/1000</f>
        <v>8.6990947200000015</v>
      </c>
      <c r="N78" s="17">
        <f>'Datos Actividad'!$M74*'FE Sectorial'!$H77*'FE Sectorial'!O77/1000/1000</f>
        <v>0</v>
      </c>
      <c r="O78" s="87">
        <f>IF(D78&lt;400,H78+I78*'Factores generales'!$M$41+J78*'Factores generales'!$N$41,I78*'Factores generales'!$M$41+J78*'Factores generales'!$N$41)</f>
        <v>97206.294129696005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Actividad'!$M75*'FE Sectorial'!$H78*'FE Sectorial'!I78*'FE Sectorial'!P78/1000</f>
        <v>66.243176999999974</v>
      </c>
      <c r="I79" s="17">
        <f>'Datos Actividad'!$M75*'FE Sectorial'!$H78*'FE Sectorial'!J78/1000/1000</f>
        <v>2.709E-3</v>
      </c>
      <c r="J79" s="17">
        <f>'Datos Actividad'!$M75*'FE Sectorial'!$H78*'FE Sectorial'!K78/1000/1000</f>
        <v>5.4179999999999994E-4</v>
      </c>
      <c r="K79" s="17">
        <f>'Datos Actividad'!$M75*'FE Sectorial'!$H78*'FE Sectorial'!L78/1000/1000</f>
        <v>0.18059999999999998</v>
      </c>
      <c r="L79" s="17">
        <f>'Datos Actividad'!$M75*'FE Sectorial'!$H78*'FE Sectorial'!M78/1000/1000</f>
        <v>9.0299999999999998E-3</v>
      </c>
      <c r="M79" s="17">
        <f>'Datos Actividad'!$M75*'FE Sectorial'!$H78*'FE Sectorial'!N78/1000/1000</f>
        <v>4.5149999999999999E-3</v>
      </c>
      <c r="N79" s="17">
        <f>'Datos Actividad'!$M75*'FE Sectorial'!$H78*'FE Sectorial'!O78/1000/1000</f>
        <v>3.2759999999999997E-2</v>
      </c>
      <c r="O79" s="87">
        <f>IF(D79&lt;400,H79+I79*'Factores generales'!$M$41+J79*'Factores generales'!$N$41,I79*'Factores generales'!$M$41+J79*'Factores generales'!$N$41)</f>
        <v>66.468023999999971</v>
      </c>
    </row>
    <row r="80" spans="1:15" outlineLevel="1" x14ac:dyDescent="0.25">
      <c r="B80" s="1" t="s">
        <v>37</v>
      </c>
      <c r="G80" s="1"/>
      <c r="H80" s="15">
        <f>SUM(H81:H83)</f>
        <v>67368.946724640002</v>
      </c>
      <c r="I80" s="15">
        <f>SUM(I81:I85)</f>
        <v>278.68401615901962</v>
      </c>
      <c r="J80" s="15">
        <f t="shared" ref="J80:O80" si="19">SUM(J81:J85)</f>
        <v>37.142516437202609</v>
      </c>
      <c r="K80" s="15">
        <f t="shared" si="19"/>
        <v>1105.6789401300653</v>
      </c>
      <c r="L80" s="15">
        <f t="shared" si="19"/>
        <v>25069.972240802614</v>
      </c>
      <c r="M80" s="15">
        <f t="shared" si="19"/>
        <v>468.04937866503269</v>
      </c>
      <c r="N80" s="15">
        <f t="shared" si="19"/>
        <v>1534.1178799999996</v>
      </c>
      <c r="O80" s="15">
        <f t="shared" si="19"/>
        <v>84735.49115951221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Actividad'!$M77*'FE Sectorial'!$H80*'FE Sectorial'!I80*'FE Sectorial'!P80/1000</f>
        <v>59883.467723640002</v>
      </c>
      <c r="I81" s="17">
        <f>'Datos Actividad'!$M77*'FE Sectorial'!$H80*'FE Sectorial'!J80/1000/1000</f>
        <v>1.0728055200000002</v>
      </c>
      <c r="J81" s="17">
        <f>'Datos Actividad'!$M77*'FE Sectorial'!$H80*'FE Sectorial'!K80/1000/1000</f>
        <v>0.10728055200000002</v>
      </c>
      <c r="K81" s="17">
        <f>'Datos Actividad'!$M77*'FE Sectorial'!$H80*'FE Sectorial'!L80/1000/1000</f>
        <v>160.920828</v>
      </c>
      <c r="L81" s="17">
        <f>'Datos Actividad'!$M77*'FE Sectorial'!$H80*'FE Sectorial'!M80/1000/1000</f>
        <v>32.1841656</v>
      </c>
      <c r="M81" s="17">
        <f>'Datos Actividad'!$M77*'FE Sectorial'!$H80*'FE Sectorial'!N80/1000/1000</f>
        <v>5.3640275999999991</v>
      </c>
      <c r="N81" s="17">
        <f>'Datos Actividad'!$M77*'FE Sectorial'!$H80*'FE Sectorial'!O80/1000/1000</f>
        <v>0</v>
      </c>
      <c r="O81" s="87">
        <f>IF(D81&lt;400,H81+I81*'Factores generales'!$M$41+J81*'Factores generales'!$N$41,I81*'Factores generales'!$M$41+J81*'Factores generales'!$N$41)</f>
        <v>59939.253610679996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Actividad'!$M78*'FE Sectorial'!$H81*'FE Sectorial'!I81*'FE Sectorial'!P81/1000</f>
        <v>7485.4790009999988</v>
      </c>
      <c r="I82" s="17">
        <f>'Datos Actividad'!$M78*'FE Sectorial'!$H81*'FE Sectorial'!J81/1000/1000</f>
        <v>0.30611700000000003</v>
      </c>
      <c r="J82" s="17">
        <f>'Datos Actividad'!$M78*'FE Sectorial'!$H81*'FE Sectorial'!K81/1000/1000</f>
        <v>6.122339999999999E-2</v>
      </c>
      <c r="K82" s="17">
        <f>'Datos Actividad'!$M78*'FE Sectorial'!$H81*'FE Sectorial'!L81/1000/1000</f>
        <v>20.407799999999998</v>
      </c>
      <c r="L82" s="17">
        <f>'Datos Actividad'!$M78*'FE Sectorial'!$H81*'FE Sectorial'!M81/1000/1000</f>
        <v>1.0203899999999999</v>
      </c>
      <c r="M82" s="17">
        <f>'Datos Actividad'!$M78*'FE Sectorial'!$H81*'FE Sectorial'!N81/1000/1000</f>
        <v>0.51019499999999995</v>
      </c>
      <c r="N82" s="17">
        <f>'Datos Actividad'!$M78*'FE Sectorial'!$H81*'FE Sectorial'!O81/1000/1000</f>
        <v>3.7018800000000001</v>
      </c>
      <c r="O82" s="87">
        <f>IF(D82&lt;400,H82+I82*'Factores generales'!$M$41+J82*'Factores generales'!$N$41,I82*'Factores generales'!$M$41+J82*'Factores generales'!$N$41)</f>
        <v>7510.8867119999986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Actividad'!$M79*'FE Sectorial'!$H82*'FE Sectorial'!I82*'FE Sectorial'!P82/1000</f>
        <v>0</v>
      </c>
      <c r="I83" s="95">
        <f>'Datos Actividad'!$M79*'FE Sectorial'!$H82*'FE Sectorial'!J82/1000/1000</f>
        <v>0</v>
      </c>
      <c r="J83" s="17">
        <f>'Datos Actividad'!$M79*'FE Sectorial'!$H82*'FE Sectorial'!K82/1000/1000</f>
        <v>0</v>
      </c>
      <c r="K83" s="17">
        <f>'Datos Actividad'!$M79*'FE Sectorial'!$H82*'FE Sectorial'!L82/1000/1000</f>
        <v>0</v>
      </c>
      <c r="L83" s="17">
        <f>'Datos Actividad'!$M79*'FE Sectorial'!$H82*'FE Sectorial'!M82/1000/1000</f>
        <v>0</v>
      </c>
      <c r="M83" s="17">
        <f>'Datos Actividad'!$M79*'FE Sectorial'!$H82*'FE Sectorial'!N82/1000/1000</f>
        <v>0</v>
      </c>
      <c r="N83" s="17">
        <f>'Datos Actividad'!$M79*'FE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Actividad'!$M80*'FE Sectorial'!$H83*'FE Sectorial'!I83*'FE Sectorial'!P83/1000</f>
        <v>581582.56665599986</v>
      </c>
      <c r="I84" s="95">
        <f>'Datos Actividad'!$M80*'FE Sectorial'!$H83*'FE Sectorial'!J83/1000/1000</f>
        <v>179.05867199999994</v>
      </c>
      <c r="J84" s="17">
        <f>'Datos Actividad'!$M80*'FE Sectorial'!$H83*'FE Sectorial'!K83/1000/1000</f>
        <v>23.874489599999993</v>
      </c>
      <c r="K84" s="17">
        <f>'Datos Actividad'!$M80*'FE Sectorial'!$H83*'FE Sectorial'!L83/1000/1000</f>
        <v>596.86223999999993</v>
      </c>
      <c r="L84" s="17">
        <f>'Datos Actividad'!$M80*'FE Sectorial'!$H83*'FE Sectorial'!M83/1000/1000</f>
        <v>11937.244799999997</v>
      </c>
      <c r="M84" s="17">
        <f>'Datos Actividad'!$M80*'FE Sectorial'!$H83*'FE Sectorial'!N83/1000/1000</f>
        <v>298.43111999999996</v>
      </c>
      <c r="N84" s="17">
        <f>'Datos Actividad'!$M80*'FE Sectorial'!$H83*'FE Sectorial'!O83/1000/1000</f>
        <v>1530.4159999999995</v>
      </c>
      <c r="O84" s="87">
        <f>IF(D84&lt;400,H84+I84*'Factores generales'!$M$41+J84*'Factores generales'!$N$41,I84*'Factores generales'!$M$41+J84*'Factores generales'!$N$41)</f>
        <v>11161.323887999995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Actividad'!$M81*'FE Sectorial'!$H84*'FE Sectorial'!I84*'FE Sectorial'!P84/1000</f>
        <v>284914.62275315693</v>
      </c>
      <c r="I85" s="95">
        <f>'Datos Actividad'!$M81*'FE Sectorial'!$H84*'FE Sectorial'!J84/1000/1000</f>
        <v>98.246421639019644</v>
      </c>
      <c r="J85" s="17">
        <f>'Datos Actividad'!$M81*'FE Sectorial'!$H84*'FE Sectorial'!K84/1000/1000</f>
        <v>13.099522885202617</v>
      </c>
      <c r="K85" s="17">
        <f>'Datos Actividad'!$M81*'FE Sectorial'!$H84*'FE Sectorial'!L84/1000/1000</f>
        <v>327.48807213006546</v>
      </c>
      <c r="L85" s="17">
        <f>'Datos Actividad'!$M81*'FE Sectorial'!$H84*'FE Sectorial'!M84/1000/1000</f>
        <v>13099.522885202618</v>
      </c>
      <c r="M85" s="17">
        <f>'Datos Actividad'!$M81*'FE Sectorial'!$H84*'FE Sectorial'!N84/1000/1000</f>
        <v>163.74403606503273</v>
      </c>
      <c r="N85" s="17">
        <f>'Datos Actividad'!$M81*'FE Sectorial'!$H84*'FE Sectorial'!O84/1000/1000</f>
        <v>0</v>
      </c>
      <c r="O85" s="87">
        <f>IF(D85&lt;400,H85+I85*'Factores generales'!$M$41+J85*'Factores generales'!$N$41,I85*'Factores generales'!$M$41+J85*'Factores generales'!$N$41)</f>
        <v>6124.0269488322238</v>
      </c>
    </row>
    <row r="86" spans="2:15" outlineLevel="1" x14ac:dyDescent="0.25">
      <c r="B86" s="1" t="s">
        <v>38</v>
      </c>
      <c r="G86" s="1"/>
      <c r="H86" s="15">
        <f>H87+H88</f>
        <v>262662.76339855202</v>
      </c>
      <c r="I86" s="15">
        <f>I87+I88+I89</f>
        <v>4.7063709359999999</v>
      </c>
      <c r="J86" s="15">
        <f t="shared" ref="J86:O86" si="20">J87+J88+J89</f>
        <v>0.47077899359999997</v>
      </c>
      <c r="K86" s="15">
        <f t="shared" si="20"/>
        <v>705.8373904</v>
      </c>
      <c r="L86" s="15">
        <f t="shared" si="20"/>
        <v>141.15328807999998</v>
      </c>
      <c r="M86" s="15">
        <f t="shared" si="20"/>
        <v>23.52712468</v>
      </c>
      <c r="N86" s="15">
        <f t="shared" si="20"/>
        <v>1.7160000000000002E-2</v>
      </c>
      <c r="O86" s="15">
        <f t="shared" si="20"/>
        <v>262907.53867622401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Actividad'!$M83*'FE Sectorial'!$H86*'FE Sectorial'!I86*'FE Sectorial'!P86/1000</f>
        <v>262628.06459155201</v>
      </c>
      <c r="I87" s="17">
        <f>'Datos Actividad'!$M83*'FE Sectorial'!$H86*'FE Sectorial'!J86/1000/1000</f>
        <v>4.7049519359999996</v>
      </c>
      <c r="J87" s="17">
        <f>'Datos Actividad'!$M83*'FE Sectorial'!$H86*'FE Sectorial'!K86/1000/1000</f>
        <v>0.47049519359999997</v>
      </c>
      <c r="K87" s="17">
        <f>'Datos Actividad'!$M83*'FE Sectorial'!$H86*'FE Sectorial'!L86/1000/1000</f>
        <v>705.74279039999999</v>
      </c>
      <c r="L87" s="17">
        <f>'Datos Actividad'!$M83*'FE Sectorial'!$H86*'FE Sectorial'!M86/1000/1000</f>
        <v>141.14855807999999</v>
      </c>
      <c r="M87" s="17">
        <f>'Datos Actividad'!$M83*'FE Sectorial'!$H86*'FE Sectorial'!N86/1000/1000</f>
        <v>23.524759679999999</v>
      </c>
      <c r="N87" s="17">
        <f>'Datos Actividad'!$M83*'FE Sectorial'!$H86*'FE Sectorial'!O86/1000/1000</f>
        <v>0</v>
      </c>
      <c r="O87" s="87">
        <f>IF(D87&lt;400,H87+I87*'Factores generales'!$M$41+J87*'Factores generales'!$N$41,I87*'Factores generales'!$M$41+J87*'Factores generales'!$N$41)</f>
        <v>262872.72209222399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Actividad'!$M84*'FE Sectorial'!$H87*'FE Sectorial'!I87*'FE Sectorial'!P87/1000</f>
        <v>34.698806999999995</v>
      </c>
      <c r="I88" s="17">
        <f>'Datos Actividad'!$M84*'FE Sectorial'!$H87*'FE Sectorial'!J87/1000/1000</f>
        <v>1.4190000000000001E-3</v>
      </c>
      <c r="J88" s="17">
        <f>'Datos Actividad'!$M84*'FE Sectorial'!$H87*'FE Sectorial'!K87/1000/1000</f>
        <v>2.8380000000000001E-4</v>
      </c>
      <c r="K88" s="17">
        <f>'Datos Actividad'!$M84*'FE Sectorial'!$H87*'FE Sectorial'!L87/1000/1000</f>
        <v>9.459999999999999E-2</v>
      </c>
      <c r="L88" s="17">
        <f>'Datos Actividad'!$M84*'FE Sectorial'!$H87*'FE Sectorial'!M87/1000/1000</f>
        <v>4.7300000000000007E-3</v>
      </c>
      <c r="M88" s="17">
        <f>'Datos Actividad'!$M84*'FE Sectorial'!$H87*'FE Sectorial'!N87/1000/1000</f>
        <v>2.3650000000000003E-3</v>
      </c>
      <c r="N88" s="17">
        <f>'Datos Actividad'!$M84*'FE Sectorial'!$H87*'FE Sectorial'!O87/1000/1000</f>
        <v>1.7160000000000002E-2</v>
      </c>
      <c r="O88" s="87">
        <f>IF(D88&lt;400,H88+I88*'Factores generales'!$M$41+J88*'Factores generales'!$N$41,I88*'Factores generales'!$M$41+J88*'Factores generales'!$N$41)</f>
        <v>34.816583999999992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Actividad'!$M85*'FE Sectorial'!$H88*'FE Sectorial'!I88*'FE Sectorial'!P88/1000</f>
        <v>0</v>
      </c>
      <c r="I89" s="95">
        <f>'Datos Actividad'!$M85*'FE Sectorial'!$H88*'FE Sectorial'!J88/1000/1000</f>
        <v>0</v>
      </c>
      <c r="J89" s="17">
        <f>'Datos Actividad'!$M85*'FE Sectorial'!$H88*'FE Sectorial'!K88/1000/1000</f>
        <v>0</v>
      </c>
      <c r="K89" s="17">
        <f>'Datos Actividad'!$M85*'FE Sectorial'!$H88*'FE Sectorial'!L88/1000/1000</f>
        <v>0</v>
      </c>
      <c r="L89" s="17">
        <f>'Datos Actividad'!$M85*'FE Sectorial'!$H88*'FE Sectorial'!M88/1000/1000</f>
        <v>0</v>
      </c>
      <c r="M89" s="17">
        <f>'Datos Actividad'!$M85*'FE Sectorial'!$H88*'FE Sectorial'!N88/1000/1000</f>
        <v>0</v>
      </c>
      <c r="N89" s="17">
        <f>'Datos Actividad'!$M85*'FE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3650360.4208385632</v>
      </c>
      <c r="I90" s="15">
        <f t="shared" si="21"/>
        <v>66.582949496395756</v>
      </c>
      <c r="J90" s="15">
        <f t="shared" si="21"/>
        <v>6.8697765296395756</v>
      </c>
      <c r="K90" s="15">
        <f t="shared" si="21"/>
        <v>9811.2077744593644</v>
      </c>
      <c r="L90" s="15">
        <f t="shared" si="21"/>
        <v>1941.0933968918728</v>
      </c>
      <c r="M90" s="15">
        <f t="shared" si="21"/>
        <v>325.86536148197877</v>
      </c>
      <c r="N90" s="15">
        <f t="shared" si="21"/>
        <v>28.933160000000001</v>
      </c>
      <c r="O90" s="15">
        <f t="shared" si="21"/>
        <v>3653888.2935021762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Actividad'!$M87*'FE Sectorial'!$H90*'FE Sectorial'!I90*'FE Sectorial'!P90/1000</f>
        <v>3598578.9888659632</v>
      </c>
      <c r="I91" s="17">
        <f>'Datos Actividad'!$M87*'FE Sectorial'!$H90*'FE Sectorial'!J90/1000/1000</f>
        <v>64.468133696395753</v>
      </c>
      <c r="J91" s="17">
        <f>'Datos Actividad'!$M87*'FE Sectorial'!$H90*'FE Sectorial'!K90/1000/1000</f>
        <v>6.4468133696395755</v>
      </c>
      <c r="K91" s="17">
        <f>'Datos Actividad'!$M87*'FE Sectorial'!$H90*'FE Sectorial'!L90/1000/1000</f>
        <v>9670.2200544593634</v>
      </c>
      <c r="L91" s="17">
        <f>'Datos Actividad'!$M87*'FE Sectorial'!$H90*'FE Sectorial'!M90/1000/1000</f>
        <v>1934.0440108918726</v>
      </c>
      <c r="M91" s="17">
        <f>'Datos Actividad'!$M87*'FE Sectorial'!$H90*'FE Sectorial'!N90/1000/1000</f>
        <v>322.34066848197875</v>
      </c>
      <c r="N91" s="17">
        <f>'Datos Actividad'!$M87*'FE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3601931.331818176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Actividad'!$M88*'FE Sectorial'!$H91*'FE Sectorial'!I91*'FE Sectorial'!P91/1000</f>
        <v>50190.247106999996</v>
      </c>
      <c r="I92" s="17">
        <f>'Datos Actividad'!$M88*'FE Sectorial'!$H91*'FE Sectorial'!J91/1000/1000</f>
        <v>2.0525189999999998</v>
      </c>
      <c r="J92" s="17">
        <f>'Datos Actividad'!$M88*'FE Sectorial'!$H91*'FE Sectorial'!K91/1000/1000</f>
        <v>0.41050380000000003</v>
      </c>
      <c r="K92" s="17">
        <f>'Datos Actividad'!$M88*'FE Sectorial'!$H91*'FE Sectorial'!L91/1000/1000</f>
        <v>136.83459999999999</v>
      </c>
      <c r="L92" s="17">
        <f>'Datos Actividad'!$M88*'FE Sectorial'!$H91*'FE Sectorial'!M91/1000/1000</f>
        <v>6.8417299999999992</v>
      </c>
      <c r="M92" s="17">
        <f>'Datos Actividad'!$M88*'FE Sectorial'!$H91*'FE Sectorial'!N91/1000/1000</f>
        <v>3.4208649999999996</v>
      </c>
      <c r="N92" s="17">
        <f>'Datos Actividad'!$M88*'FE Sectorial'!$H91*'FE Sectorial'!O91/1000/1000</f>
        <v>24.821159999999999</v>
      </c>
      <c r="O92" s="87">
        <f>IF(D92&lt;400,H92+I92*'Factores generales'!$M$41+J92*'Factores generales'!$N$41,I92*'Factores generales'!$M$41+J92*'Factores generales'!$N$41)</f>
        <v>50360.606183999997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Actividad'!$M89*'FE Sectorial'!$H92*'FE Sectorial'!I92*'FE Sectorial'!P92/1000</f>
        <v>1591.1848656</v>
      </c>
      <c r="I93" s="17">
        <f>'Datos Actividad'!$M89*'FE Sectorial'!$H92*'FE Sectorial'!J92/1000/1000</f>
        <v>6.2296799999999999E-2</v>
      </c>
      <c r="J93" s="17">
        <f>'Datos Actividad'!$M89*'FE Sectorial'!$H92*'FE Sectorial'!K92/1000/1000</f>
        <v>1.2459359999999999E-2</v>
      </c>
      <c r="K93" s="17">
        <f>'Datos Actividad'!$M89*'FE Sectorial'!$H92*'FE Sectorial'!L92/1000/1000</f>
        <v>4.1531199999999995</v>
      </c>
      <c r="L93" s="17">
        <f>'Datos Actividad'!$M89*'FE Sectorial'!$H92*'FE Sectorial'!M92/1000/1000</f>
        <v>0.20765600000000001</v>
      </c>
      <c r="M93" s="17">
        <f>'Datos Actividad'!$M89*'FE Sectorial'!$H92*'FE Sectorial'!N92/1000/1000</f>
        <v>0.103828</v>
      </c>
      <c r="N93" s="17">
        <f>'Datos Actividad'!$M89*'FE Sectorial'!$H92*'FE Sectorial'!O92/1000/1000</f>
        <v>4.1120000000000001</v>
      </c>
      <c r="O93" s="87">
        <f>IF(D93&lt;400,H93+I93*'Factores generales'!$M$41+J93*'Factores generales'!$N$41,I93*'Factores generales'!$M$41+J93*'Factores generales'!$N$41)</f>
        <v>1596.3555000000001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899746.7515291156</v>
      </c>
      <c r="I94" s="15">
        <f t="shared" ref="I94:O94" si="22">SUM(I95:I100)</f>
        <v>23.209272429567221</v>
      </c>
      <c r="J94" s="15">
        <f t="shared" si="22"/>
        <v>3.782247179977372</v>
      </c>
      <c r="K94" s="15">
        <f t="shared" si="22"/>
        <v>2263.6242502512087</v>
      </c>
      <c r="L94" s="15">
        <f t="shared" si="22"/>
        <v>306.59285634817678</v>
      </c>
      <c r="M94" s="15">
        <f t="shared" si="22"/>
        <v>67.335697580481124</v>
      </c>
      <c r="N94" s="15">
        <f t="shared" si="22"/>
        <v>481.49892847091655</v>
      </c>
      <c r="O94" s="15">
        <f t="shared" si="22"/>
        <v>901406.6428759296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Actividad'!$M91*'FE Sectorial'!$H94*'FE Sectorial'!I94*'FE Sectorial'!P94/1000</f>
        <v>0</v>
      </c>
      <c r="I95" s="17">
        <f>'Datos Actividad'!$M91*'FE Sectorial'!$H94*'FE Sectorial'!J94/1000/1000</f>
        <v>0</v>
      </c>
      <c r="J95" s="17">
        <f>'Datos Actividad'!$M91*'FE Sectorial'!$H94*'FE Sectorial'!K94/1000/1000</f>
        <v>0</v>
      </c>
      <c r="K95" s="17">
        <f>'Datos Actividad'!$M91*'FE Sectorial'!$H94*'FE Sectorial'!L94/1000/1000</f>
        <v>0</v>
      </c>
      <c r="L95" s="17">
        <f>'Datos Actividad'!$M91*'FE Sectorial'!$H94*'FE Sectorial'!M94/1000/1000</f>
        <v>0</v>
      </c>
      <c r="M95" s="17">
        <f>'Datos Actividad'!$M91*'FE Sectorial'!$H94*'FE Sectorial'!N94/1000/1000</f>
        <v>0</v>
      </c>
      <c r="N95" s="17">
        <f>'Datos Actividad'!$M91*'FE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Actividad'!$M92*'FE Sectorial'!$H95*'FE Sectorial'!I95*'FE Sectorial'!P95/1000</f>
        <v>536988.08794520516</v>
      </c>
      <c r="I96" s="17">
        <f>'Datos Actividad'!$M92*'FE Sectorial'!$H95*'FE Sectorial'!J95/1000/1000</f>
        <v>8.5960730593607266</v>
      </c>
      <c r="J96" s="17">
        <f>'Datos Actividad'!$M92*'FE Sectorial'!$H95*'FE Sectorial'!K95/1000/1000</f>
        <v>0.8596073059360726</v>
      </c>
      <c r="K96" s="17">
        <f>'Datos Actividad'!$M92*'FE Sectorial'!$H95*'FE Sectorial'!L95/1000/1000</f>
        <v>1289.4109589041088</v>
      </c>
      <c r="L96" s="17">
        <f>'Datos Actividad'!$M92*'FE Sectorial'!$H95*'FE Sectorial'!M95/1000/1000</f>
        <v>257.88219178082176</v>
      </c>
      <c r="M96" s="17">
        <f>'Datos Actividad'!$M92*'FE Sectorial'!$H95*'FE Sectorial'!N95/1000/1000</f>
        <v>42.980365296803633</v>
      </c>
      <c r="N96" s="17">
        <f>'Datos Actividad'!$M92*'FE Sectorial'!$H95*'FE Sectorial'!O95/1000/1000</f>
        <v>36.347031963470315</v>
      </c>
      <c r="O96" s="87">
        <f>IF(D96&lt;400,H96+I96*'Factores generales'!$M$41+J96*'Factores generales'!$N$41,I96*'Factores generales'!$M$41+J96*'Factores generales'!$N$41)</f>
        <v>537435.08374429191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Actividad'!$M93*'FE Sectorial'!$H96*'FE Sectorial'!I96*'FE Sectorial'!P96/1000</f>
        <v>235585.78711693236</v>
      </c>
      <c r="I97" s="17">
        <f>'Datos Actividad'!$M93*'FE Sectorial'!$H96*'FE Sectorial'!J96/1000/1000</f>
        <v>9.6342284021155837</v>
      </c>
      <c r="J97" s="17">
        <f>'Datos Actividad'!$M93*'FE Sectorial'!$H96*'FE Sectorial'!K96/1000/1000</f>
        <v>1.9268456804231169</v>
      </c>
      <c r="K97" s="17">
        <f>'Datos Actividad'!$M93*'FE Sectorial'!$H96*'FE Sectorial'!L96/1000/1000</f>
        <v>642.28189347437217</v>
      </c>
      <c r="L97" s="17">
        <f>'Datos Actividad'!$M93*'FE Sectorial'!$H96*'FE Sectorial'!M96/1000/1000</f>
        <v>32.114094673718618</v>
      </c>
      <c r="M97" s="17">
        <f>'Datos Actividad'!$M93*'FE Sectorial'!$H96*'FE Sectorial'!N96/1000/1000</f>
        <v>16.057047336859309</v>
      </c>
      <c r="N97" s="17">
        <f>'Datos Actividad'!$M93*'FE Sectorial'!$H96*'FE Sectorial'!O96/1000/1000</f>
        <v>116.50694811860707</v>
      </c>
      <c r="O97" s="87">
        <f>IF(D97&lt;400,H97+I97*'Factores generales'!$M$41+J97*'Factores generales'!$N$41,I97*'Factores generales'!$M$41+J97*'Factores generales'!$N$41)</f>
        <v>236385.42807430794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Actividad'!$M94*'FE Sectorial'!$H97*'FE Sectorial'!I97*'FE Sectorial'!P97/1000</f>
        <v>127172.87646697811</v>
      </c>
      <c r="I98" s="17">
        <f>'Datos Actividad'!$M94*'FE Sectorial'!$H97*'FE Sectorial'!J97/1000/1000</f>
        <v>4.9789709680909127</v>
      </c>
      <c r="J98" s="17">
        <f>'Datos Actividad'!$M94*'FE Sectorial'!$H97*'FE Sectorial'!K97/1000/1000</f>
        <v>0.99579419361818244</v>
      </c>
      <c r="K98" s="17">
        <f>'Datos Actividad'!$M94*'FE Sectorial'!$H97*'FE Sectorial'!L97/1000/1000</f>
        <v>331.93139787272753</v>
      </c>
      <c r="L98" s="17">
        <f>'Datos Actividad'!$M94*'FE Sectorial'!$H97*'FE Sectorial'!M97/1000/1000</f>
        <v>16.596569893636378</v>
      </c>
      <c r="M98" s="17">
        <f>'Datos Actividad'!$M94*'FE Sectorial'!$H97*'FE Sectorial'!N97/1000/1000</f>
        <v>8.298284946818189</v>
      </c>
      <c r="N98" s="17">
        <f>'Datos Actividad'!$M94*'FE Sectorial'!$H97*'FE Sectorial'!O97/1000/1000</f>
        <v>328.64494838883917</v>
      </c>
      <c r="O98" s="87">
        <f>IF(D98&lt;400,H98+I98*'Factores generales'!$M$41+J98*'Factores generales'!$N$41,I98*'Factores generales'!$M$41+J98*'Factores generales'!$N$41)</f>
        <v>127586.13105732965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Actividad'!$M95*'FE Sectorial'!$H98*'FE Sectorial'!I98*'FE Sectorial'!P98/1000</f>
        <v>0</v>
      </c>
      <c r="I99" s="17">
        <f>'Datos Actividad'!$M95*'FE Sectorial'!$H98*'FE Sectorial'!J98/1000/1000</f>
        <v>0</v>
      </c>
      <c r="J99" s="17">
        <f>'Datos Actividad'!$M95*'FE Sectorial'!$H98*'FE Sectorial'!K98/1000/1000</f>
        <v>0</v>
      </c>
      <c r="K99" s="17">
        <f>'Datos Actividad'!$M95*'FE Sectorial'!$H98*'FE Sectorial'!L98/1000/1000</f>
        <v>0</v>
      </c>
      <c r="L99" s="17">
        <f>'Datos Actividad'!$M95*'FE Sectorial'!$H98*'FE Sectorial'!M98/1000/1000</f>
        <v>0</v>
      </c>
      <c r="M99" s="17">
        <f>'Datos Actividad'!$M95*'FE Sectorial'!$H98*'FE Sectorial'!N98/1000/1000</f>
        <v>0</v>
      </c>
      <c r="N99" s="17">
        <f>'Datos Actividad'!$M95*'FE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Actividad'!$M96*'FE Sectorial'!$H99*'FE Sectorial'!I99*'FE Sectorial'!P99/1000</f>
        <v>0</v>
      </c>
      <c r="I100" s="17">
        <f>'Datos Actividad'!$M96*'FE Sectorial'!$H99*'FE Sectorial'!J99/1000/1000</f>
        <v>0</v>
      </c>
      <c r="J100" s="17">
        <f>'Datos Actividad'!$M96*'FE Sectorial'!$H99*'FE Sectorial'!K99/1000/1000</f>
        <v>0</v>
      </c>
      <c r="K100" s="17">
        <f>'Datos Actividad'!$M96*'FE Sectorial'!$H99*'FE Sectorial'!L99/1000/1000</f>
        <v>0</v>
      </c>
      <c r="L100" s="17">
        <f>'Datos Actividad'!$M96*'FE Sectorial'!$H99*'FE Sectorial'!M99/1000/1000</f>
        <v>0</v>
      </c>
      <c r="M100" s="17">
        <f>'Datos Actividad'!$M96*'FE Sectorial'!$H99*'FE Sectorial'!N99/1000/1000</f>
        <v>0</v>
      </c>
      <c r="N100" s="17">
        <f>'Datos Actividad'!$M96*'FE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40355199.86968419</v>
      </c>
      <c r="I101" s="129">
        <f t="shared" si="23"/>
        <v>14672.057043991827</v>
      </c>
      <c r="J101" s="129">
        <f t="shared" si="23"/>
        <v>2630.7534263551192</v>
      </c>
      <c r="K101" s="129">
        <f t="shared" si="23"/>
        <v>392917.73666270875</v>
      </c>
      <c r="L101" s="129">
        <f t="shared" si="23"/>
        <v>1430485.5048950803</v>
      </c>
      <c r="M101" s="129">
        <f t="shared" si="23"/>
        <v>264727.31334940472</v>
      </c>
      <c r="N101" s="129">
        <f t="shared" si="23"/>
        <v>12001.191652670474</v>
      </c>
      <c r="O101" s="129">
        <f t="shared" si="23"/>
        <v>41478846.629778117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1143982.4065807739</v>
      </c>
      <c r="I102" s="134">
        <f t="shared" ref="I102:O102" si="24">I105</f>
        <v>8.0806838071680005</v>
      </c>
      <c r="J102" s="134">
        <f t="shared" si="24"/>
        <v>32.322735228672002</v>
      </c>
      <c r="K102" s="134">
        <f t="shared" si="24"/>
        <v>4040.3419035840002</v>
      </c>
      <c r="L102" s="134">
        <f t="shared" si="24"/>
        <v>1616.1367614336002</v>
      </c>
      <c r="M102" s="134">
        <f t="shared" si="24"/>
        <v>808.06838071680011</v>
      </c>
      <c r="N102" s="134">
        <f t="shared" si="24"/>
        <v>732.94184191999989</v>
      </c>
      <c r="O102" s="134">
        <f t="shared" si="24"/>
        <v>1154172.1488616127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2145712.4433491952</v>
      </c>
      <c r="I103" s="15">
        <f t="shared" ref="I103:O103" si="25">I104</f>
        <v>15.156547597296003</v>
      </c>
      <c r="J103" s="15">
        <f t="shared" si="25"/>
        <v>60.626190389184011</v>
      </c>
      <c r="K103" s="15">
        <f t="shared" si="25"/>
        <v>7578.2737986480015</v>
      </c>
      <c r="L103" s="15">
        <f t="shared" si="25"/>
        <v>3031.3095194592011</v>
      </c>
      <c r="M103" s="15">
        <f t="shared" si="25"/>
        <v>1515.6547597296005</v>
      </c>
      <c r="N103" s="15">
        <f t="shared" si="25"/>
        <v>1374.7435462400003</v>
      </c>
      <c r="O103" s="15">
        <f t="shared" si="25"/>
        <v>2164824.8498693854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Actividad'!$M100*'FE Sectorial'!$H103*'FE Sectorial'!I103*'FE Sectorial'!P103/1000</f>
        <v>2145712.4433491952</v>
      </c>
      <c r="I104" s="17">
        <f>'Datos Actividad'!$M100*'FE Sectorial'!$H103*'FE Sectorial'!J103/1000/1000</f>
        <v>15.156547597296003</v>
      </c>
      <c r="J104" s="17">
        <f>'Datos Actividad'!$M100*'FE Sectorial'!$H103*'FE Sectorial'!K103/1000/1000</f>
        <v>60.626190389184011</v>
      </c>
      <c r="K104" s="17">
        <f>'Datos Actividad'!$M100*'FE Sectorial'!$H103*'FE Sectorial'!L103/1000/1000</f>
        <v>7578.2737986480015</v>
      </c>
      <c r="L104" s="17">
        <f>'Datos Actividad'!$M100*'FE Sectorial'!$H103*'FE Sectorial'!M103/1000/1000</f>
        <v>3031.3095194592011</v>
      </c>
      <c r="M104" s="17">
        <f>'Datos Actividad'!$M100*'FE Sectorial'!$H103*'FE Sectorial'!N103/1000/1000</f>
        <v>1515.6547597296005</v>
      </c>
      <c r="N104" s="17">
        <f>'Datos Actividad'!$M100*'FE Sectorial'!$H103*'FE Sectorial'!O103/1000/1000</f>
        <v>1374.7435462400003</v>
      </c>
      <c r="O104" s="87">
        <f>IF(D104&lt;400,H104+I104*'Factores generales'!$M$41+J104*'Factores generales'!$N$41,I104*'Factores generales'!$M$41+J104*'Factores generales'!$N$41)</f>
        <v>2164824.8498693854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1143982.4065807739</v>
      </c>
      <c r="I105" s="15">
        <f t="shared" ref="I105:O105" si="26">I106</f>
        <v>8.0806838071680005</v>
      </c>
      <c r="J105" s="15">
        <f t="shared" si="26"/>
        <v>32.322735228672002</v>
      </c>
      <c r="K105" s="15">
        <f t="shared" si="26"/>
        <v>4040.3419035840002</v>
      </c>
      <c r="L105" s="15">
        <f t="shared" si="26"/>
        <v>1616.1367614336002</v>
      </c>
      <c r="M105" s="15">
        <f t="shared" si="26"/>
        <v>808.06838071680011</v>
      </c>
      <c r="N105" s="15">
        <f t="shared" si="26"/>
        <v>732.94184191999989</v>
      </c>
      <c r="O105" s="15">
        <f t="shared" si="26"/>
        <v>1154172.1488616127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Actividad'!$M102*'FE Sectorial'!$H105*'FE Sectorial'!I105*'FE Sectorial'!P105/1000</f>
        <v>1143982.4065807739</v>
      </c>
      <c r="I106" s="17">
        <f>'Datos Actividad'!$M102*'FE Sectorial'!$H105*'FE Sectorial'!J105/1000/1000</f>
        <v>8.0806838071680005</v>
      </c>
      <c r="J106" s="17">
        <f>'Datos Actividad'!$M102*'FE Sectorial'!$H105*'FE Sectorial'!K105/1000/1000</f>
        <v>32.322735228672002</v>
      </c>
      <c r="K106" s="17">
        <f>'Datos Actividad'!$M102*'FE Sectorial'!$H105*'FE Sectorial'!L105/1000/1000</f>
        <v>4040.3419035840002</v>
      </c>
      <c r="L106" s="17">
        <f>'Datos Actividad'!$M102*'FE Sectorial'!$H105*'FE Sectorial'!M105/1000/1000</f>
        <v>1616.1367614336002</v>
      </c>
      <c r="M106" s="17">
        <f>'Datos Actividad'!$M102*'FE Sectorial'!$H105*'FE Sectorial'!N105/1000/1000</f>
        <v>808.06838071680011</v>
      </c>
      <c r="N106" s="17">
        <f>'Datos Actividad'!$M102*'FE Sectorial'!$H105*'FE Sectorial'!O105/1000/1000</f>
        <v>732.94184191999989</v>
      </c>
      <c r="O106" s="87">
        <f>IF(D106&lt;400,H106+I106*'Factores generales'!$M$41+J106*'Factores generales'!$N$41,I106*'Factores generales'!$M$41+J106*'Factores generales'!$N$41)</f>
        <v>1154172.1488616127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36160130.785161607</v>
      </c>
      <c r="I107" s="134">
        <f t="shared" si="27"/>
        <v>14579.563291895733</v>
      </c>
      <c r="J107" s="134">
        <f t="shared" si="27"/>
        <v>2522.396963862695</v>
      </c>
      <c r="K107" s="134">
        <f t="shared" si="27"/>
        <v>373076.76944046031</v>
      </c>
      <c r="L107" s="134">
        <f t="shared" si="27"/>
        <v>1421591.8870240762</v>
      </c>
      <c r="M107" s="134">
        <f t="shared" si="27"/>
        <v>262417.52483697387</v>
      </c>
      <c r="N107" s="134">
        <f t="shared" si="27"/>
        <v>10834.709670198619</v>
      </c>
      <c r="O107" s="134">
        <f t="shared" si="27"/>
        <v>37248244.673088856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33893618.602791749</v>
      </c>
      <c r="I108" s="15">
        <f t="shared" ref="I108:O108" si="28">I109+I110+I111+I112+I113</f>
        <v>14459.068226378993</v>
      </c>
      <c r="J108" s="15">
        <f t="shared" si="28"/>
        <v>2401.9018983459559</v>
      </c>
      <c r="K108" s="15">
        <f t="shared" si="28"/>
        <v>348359.83292420622</v>
      </c>
      <c r="L108" s="15">
        <f t="shared" si="28"/>
        <v>1390695.7163787587</v>
      </c>
      <c r="M108" s="15">
        <f t="shared" si="28"/>
        <v>256238.29070791032</v>
      </c>
      <c r="N108" s="15">
        <f t="shared" si="28"/>
        <v>9713.8253398103516</v>
      </c>
      <c r="O108" s="15">
        <f t="shared" si="28"/>
        <v>34941848.624032959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Actividad'!$M105*'FE Sectorial'!$H108*'FE Sectorial'!I108*'FE Sectorial'!P108/1000</f>
        <v>6100995.5024634013</v>
      </c>
      <c r="I109" s="17">
        <f>'Datos Actividad'!$M105*'FE Sectorial'!$H108*'FE Sectorial'!J108/1000/1000</f>
        <v>10055.4749904</v>
      </c>
      <c r="J109" s="17">
        <f>'Datos Actividad'!$M105*'FE Sectorial'!$H108*'FE Sectorial'!K108/1000/1000</f>
        <v>327.89592360000006</v>
      </c>
      <c r="K109" s="17">
        <f>'Datos Actividad'!$M105*'FE Sectorial'!$H108*'FE Sectorial'!L108/1000/1000</f>
        <v>65579.184720000005</v>
      </c>
      <c r="L109" s="17">
        <f>'Datos Actividad'!$M105*'FE Sectorial'!$H108*'FE Sectorial'!M108/1000/1000</f>
        <v>43719.456479999993</v>
      </c>
      <c r="M109" s="17">
        <f>'Datos Actividad'!$M105*'FE Sectorial'!$H108*'FE Sectorial'!N108/1000/1000</f>
        <v>546.49320599999999</v>
      </c>
      <c r="N109" s="17">
        <f>'Datos Actividad'!$M105*'FE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6413808.2135778014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Actividad'!$M106*'FE Sectorial'!$H109*'FE Sectorial'!I109*'FE Sectorial'!P109/1000</f>
        <v>18391094.086715702</v>
      </c>
      <c r="I110" s="17">
        <f>'Datos Actividad'!$M106*'FE Sectorial'!$H109*'FE Sectorial'!J109/1000/1000</f>
        <v>977.72961651864455</v>
      </c>
      <c r="J110" s="17">
        <f>'Datos Actividad'!$M106*'FE Sectorial'!$H109*'FE Sectorial'!K109/1000/1000</f>
        <v>977.72961651864455</v>
      </c>
      <c r="K110" s="17">
        <f>'Datos Actividad'!$M106*'FE Sectorial'!$H109*'FE Sectorial'!L109/1000/1000</f>
        <v>200559.92133715784</v>
      </c>
      <c r="L110" s="17">
        <f>'Datos Actividad'!$M106*'FE Sectorial'!$H109*'FE Sectorial'!M109/1000/1000</f>
        <v>250699.9016714473</v>
      </c>
      <c r="M110" s="17">
        <f>'Datos Actividad'!$M106*'FE Sectorial'!$H109*'FE Sectorial'!N109/1000/1000</f>
        <v>50139.980334289459</v>
      </c>
      <c r="N110" s="17">
        <f>'Datos Actividad'!$M106*'FE Sectorial'!$H109*'FE Sectorial'!O109/1000/1000</f>
        <v>9095.1592234292511</v>
      </c>
      <c r="O110" s="87">
        <f>IF(D110&lt;400,H110+I110*'Factores generales'!$M$41+J110*'Factores generales'!$N$41,I110*'Factores generales'!$M$41+J110*'Factores generales'!$N$41)</f>
        <v>18714722.589783374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Actividad'!$M107*'FE Sectorial'!$H110*'FE Sectorial'!I110*'FE Sectorial'!P110/1000</f>
        <v>9401529.0136126447</v>
      </c>
      <c r="I111" s="17">
        <f>'Datos Actividad'!$M107*'FE Sectorial'!$H110*'FE Sectorial'!J110/1000/1000</f>
        <v>3425.8636194603482</v>
      </c>
      <c r="J111" s="17">
        <f>'Datos Actividad'!$M107*'FE Sectorial'!$H110*'FE Sectorial'!K110/1000/1000</f>
        <v>1096.2763582273114</v>
      </c>
      <c r="K111" s="17">
        <f>'Datos Actividad'!$M107*'FE Sectorial'!$H110*'FE Sectorial'!L110/1000/1000</f>
        <v>82220.726867048346</v>
      </c>
      <c r="L111" s="17">
        <f>'Datos Actividad'!$M107*'FE Sectorial'!$H110*'FE Sectorial'!M110/1000/1000</f>
        <v>1096276.3582273114</v>
      </c>
      <c r="M111" s="17">
        <f>'Datos Actividad'!$M107*'FE Sectorial'!$H110*'FE Sectorial'!N110/1000/1000</f>
        <v>205551.81716762087</v>
      </c>
      <c r="N111" s="17">
        <f>'Datos Actividad'!$M107*'FE Sectorial'!$H110*'FE Sectorial'!O110/1000/1000</f>
        <v>618.66611638110123</v>
      </c>
      <c r="O111" s="87">
        <f>IF(D111&lt;400,H111+I111*'Factores generales'!$M$41+J111*'Factores generales'!$N$41,I111*'Factores generales'!$M$41+J111*'Factores generales'!$N$41)</f>
        <v>9813317.8206717782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Actividad'!$M108*'FE Sectorial'!$H111*'FE Sectorial'!I111*'FE Sectorial'!P111/1000</f>
        <v>0</v>
      </c>
      <c r="I112" s="17">
        <f>'Datos Actividad'!$M108*'FE Sectorial'!$H111*'FE Sectorial'!J111/1000/1000</f>
        <v>0</v>
      </c>
      <c r="J112" s="17">
        <f>'Datos Actividad'!$M108*'FE Sectorial'!$H111*'FE Sectorial'!K111/1000/1000</f>
        <v>0</v>
      </c>
      <c r="K112" s="17">
        <f>'Datos Actividad'!$M108*'FE Sectorial'!$H111*'FE Sectorial'!L111/1000/1000</f>
        <v>0</v>
      </c>
      <c r="L112" s="17">
        <f>'Datos Actividad'!$M108*'FE Sectorial'!$H111*'FE Sectorial'!M111/1000/1000</f>
        <v>0</v>
      </c>
      <c r="M112" s="17">
        <f>'Datos Actividad'!$M108*'FE Sectorial'!$H111*'FE Sectorial'!N111/1000/1000</f>
        <v>0</v>
      </c>
      <c r="N112" s="17">
        <f>'Datos Actividad'!$M108*'FE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Actividad'!$M109*'FE Sectorial'!$H112*'FE Sectorial'!I112*'FE Sectorial'!P112/1000</f>
        <v>0</v>
      </c>
      <c r="I113" s="17">
        <f>'Datos Actividad'!$M109*'FE Sectorial'!$H112*'FE Sectorial'!J112/1000/1000</f>
        <v>0</v>
      </c>
      <c r="J113" s="17">
        <f>'Datos Actividad'!$M109*'FE Sectorial'!$H112*'FE Sectorial'!K112/1000/1000</f>
        <v>0</v>
      </c>
      <c r="K113" s="17">
        <f>'Datos Actividad'!$M109*'FE Sectorial'!$H112*'FE Sectorial'!L112/1000/1000</f>
        <v>0</v>
      </c>
      <c r="L113" s="17">
        <f>'Datos Actividad'!$M109*'FE Sectorial'!$H112*'FE Sectorial'!M112/1000/1000</f>
        <v>0</v>
      </c>
      <c r="M113" s="17">
        <f>'Datos Actividad'!$M109*'FE Sectorial'!$H112*'FE Sectorial'!N112/1000/1000</f>
        <v>0</v>
      </c>
      <c r="N113" s="17">
        <f>'Datos Actividad'!$M109*'FE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2266512.1823698566</v>
      </c>
      <c r="I114" s="15">
        <f t="shared" ref="I114:O114" si="29">I115</f>
        <v>120.4950655167388</v>
      </c>
      <c r="J114" s="15">
        <f t="shared" si="29"/>
        <v>120.4950655167388</v>
      </c>
      <c r="K114" s="15">
        <f t="shared" si="29"/>
        <v>24716.936516254114</v>
      </c>
      <c r="L114" s="15">
        <f t="shared" si="29"/>
        <v>30896.170645317645</v>
      </c>
      <c r="M114" s="15">
        <f t="shared" si="29"/>
        <v>6179.2341290635286</v>
      </c>
      <c r="N114" s="15">
        <f t="shared" si="29"/>
        <v>1120.8843303882679</v>
      </c>
      <c r="O114" s="15">
        <f t="shared" si="29"/>
        <v>2306396.0490558972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Actividad'!$M111*'FE Sectorial'!$H114*'FE Sectorial'!I114*'FE Sectorial'!P114/1000</f>
        <v>2266512.1823698566</v>
      </c>
      <c r="I115" s="17">
        <f>'Datos Actividad'!$M111*'FE Sectorial'!$H114*'FE Sectorial'!J114/1000/1000</f>
        <v>120.4950655167388</v>
      </c>
      <c r="J115" s="17">
        <f>'Datos Actividad'!$M111*'FE Sectorial'!$H114*'FE Sectorial'!K114/1000/1000</f>
        <v>120.4950655167388</v>
      </c>
      <c r="K115" s="17">
        <f>'Datos Actividad'!$M111*'FE Sectorial'!$H114*'FE Sectorial'!L114/1000/1000</f>
        <v>24716.936516254114</v>
      </c>
      <c r="L115" s="17">
        <f>'Datos Actividad'!$M111*'FE Sectorial'!$H114*'FE Sectorial'!M114/1000/1000</f>
        <v>30896.170645317645</v>
      </c>
      <c r="M115" s="17">
        <f>'Datos Actividad'!$M111*'FE Sectorial'!$H114*'FE Sectorial'!N114/1000/1000</f>
        <v>6179.2341290635286</v>
      </c>
      <c r="N115" s="17">
        <f>'Datos Actividad'!$M111*'FE Sectorial'!$H114*'FE Sectorial'!O114/1000/1000</f>
        <v>1120.8843303882679</v>
      </c>
      <c r="O115" s="87">
        <f>IF(D115&lt;400,H115+I115*'Factores generales'!$M$41+J115*'Factores generales'!$N$41,I115*'Factores generales'!$M$41+J115*'Factores generales'!$N$41)</f>
        <v>2306396.0490558972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161892.80351412625</v>
      </c>
      <c r="I116" s="134">
        <f t="shared" ref="I116:O116" si="30">I117</f>
        <v>9.1584554667269717</v>
      </c>
      <c r="J116" s="134">
        <f t="shared" si="30"/>
        <v>63.116102734552143</v>
      </c>
      <c r="K116" s="134">
        <f t="shared" si="30"/>
        <v>2648.2280867644258</v>
      </c>
      <c r="L116" s="134">
        <f t="shared" si="30"/>
        <v>2206.8567389703549</v>
      </c>
      <c r="M116" s="134">
        <f t="shared" si="30"/>
        <v>441.37134779407097</v>
      </c>
      <c r="N116" s="134">
        <f t="shared" si="30"/>
        <v>80.062709599854713</v>
      </c>
      <c r="O116" s="134">
        <f t="shared" si="30"/>
        <v>181651.12292663869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Actividad'!$M113*'FE Sectorial'!$H116*'FE Sectorial'!I116*'FE Sectorial'!P116/1000</f>
        <v>161892.80351412625</v>
      </c>
      <c r="I117" s="17">
        <f>'Datos Actividad'!$M113*'FE Sectorial'!$H116*'FE Sectorial'!J116/1000/1000</f>
        <v>9.1584554667269717</v>
      </c>
      <c r="J117" s="17">
        <f>'Datos Actividad'!$M113*'FE Sectorial'!$H116*'FE Sectorial'!K116/1000/1000</f>
        <v>63.116102734552143</v>
      </c>
      <c r="K117" s="17">
        <f>'Datos Actividad'!$M113*'FE Sectorial'!$H116*'FE Sectorial'!L116/1000/1000</f>
        <v>2648.2280867644258</v>
      </c>
      <c r="L117" s="17">
        <f>'Datos Actividad'!$M113*'FE Sectorial'!$H116*'FE Sectorial'!M116/1000/1000</f>
        <v>2206.8567389703549</v>
      </c>
      <c r="M117" s="17">
        <f>'Datos Actividad'!$M113*'FE Sectorial'!$H116*'FE Sectorial'!N116/1000/1000</f>
        <v>441.37134779407097</v>
      </c>
      <c r="N117" s="17">
        <f>'Datos Actividad'!$M113*'FE Sectorial'!$H116*'FE Sectorial'!O116/1000/1000</f>
        <v>80.062709599854713</v>
      </c>
      <c r="O117" s="87">
        <f>IF(D117&lt;400,H117+I117*'Factores generales'!$M$41+J117*'Factores generales'!$N$41,I117*'Factores generales'!$M$41+J117*'Factores generales'!$N$41)</f>
        <v>181651.12292663869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308265.80429408938</v>
      </c>
      <c r="I118" s="134">
        <f t="shared" ref="I118:O118" si="31">I122</f>
        <v>29.024167022199997</v>
      </c>
      <c r="J118" s="134">
        <f t="shared" si="31"/>
        <v>8.2926191491999983</v>
      </c>
      <c r="K118" s="134">
        <f t="shared" si="31"/>
        <v>6219.4643618999999</v>
      </c>
      <c r="L118" s="134">
        <f t="shared" si="31"/>
        <v>4146.3095745999999</v>
      </c>
      <c r="M118" s="134">
        <f t="shared" si="31"/>
        <v>829.26191491999987</v>
      </c>
      <c r="N118" s="134">
        <f t="shared" si="31"/>
        <v>353.24031095199996</v>
      </c>
      <c r="O118" s="134">
        <f t="shared" si="31"/>
        <v>311446.02373780758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2141665.809774668</v>
      </c>
      <c r="I119" s="15">
        <f t="shared" ref="I119:O119" si="32">I120+I121</f>
        <v>197.6489585553</v>
      </c>
      <c r="J119" s="15">
        <f t="shared" si="32"/>
        <v>56.47113101579999</v>
      </c>
      <c r="K119" s="15">
        <f t="shared" si="32"/>
        <v>42353.348261849998</v>
      </c>
      <c r="L119" s="15">
        <f t="shared" si="32"/>
        <v>28235.565507899995</v>
      </c>
      <c r="M119" s="15">
        <f t="shared" si="32"/>
        <v>5647.1131015800001</v>
      </c>
      <c r="N119" s="15">
        <f t="shared" si="32"/>
        <v>4506.3632335479997</v>
      </c>
      <c r="O119" s="15">
        <f t="shared" si="32"/>
        <v>2163322.4885192276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Actividad'!$M116*'FE Sectorial'!$H119*'FE Sectorial'!I119*'FE Sectorial'!P119/1000</f>
        <v>492038.20999257208</v>
      </c>
      <c r="I120" s="17">
        <f>'Datos Actividad'!$M116*'FE Sectorial'!$H119*'FE Sectorial'!J119/1000/1000</f>
        <v>46.950850883299999</v>
      </c>
      <c r="J120" s="17">
        <f>'Datos Actividad'!$M116*'FE Sectorial'!$H119*'FE Sectorial'!K119/1000/1000</f>
        <v>13.4145288238</v>
      </c>
      <c r="K120" s="17">
        <f>'Datos Actividad'!$M116*'FE Sectorial'!$H119*'FE Sectorial'!L119/1000/1000</f>
        <v>10060.89661785</v>
      </c>
      <c r="L120" s="17">
        <f>'Datos Actividad'!$M116*'FE Sectorial'!$H119*'FE Sectorial'!M119/1000/1000</f>
        <v>6707.2644118999997</v>
      </c>
      <c r="M120" s="17">
        <f>'Datos Actividad'!$M116*'FE Sectorial'!$H119*'FE Sectorial'!N119/1000/1000</f>
        <v>1341.4528823799999</v>
      </c>
      <c r="N120" s="17">
        <f>'Datos Actividad'!$M116*'FE Sectorial'!$H119*'FE Sectorial'!O119/1000/1000</f>
        <v>243.33331354800001</v>
      </c>
      <c r="O120" s="87">
        <f>IF(D120&lt;400,H120+I120*'Factores generales'!$M$41+J120*'Factores generales'!$N$41,I120*'Factores generales'!$M$41+J120*'Factores generales'!$N$41)</f>
        <v>497182.68179649935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Actividad'!$M117*'FE Sectorial'!$H120*'FE Sectorial'!I120*'FE Sectorial'!P120/1000</f>
        <v>1649627.599782096</v>
      </c>
      <c r="I121" s="17">
        <f>'Datos Actividad'!$M117*'FE Sectorial'!$H120*'FE Sectorial'!J120/1000/1000</f>
        <v>150.69810767199999</v>
      </c>
      <c r="J121" s="17">
        <f>'Datos Actividad'!$M117*'FE Sectorial'!$H120*'FE Sectorial'!K120/1000/1000</f>
        <v>43.056602191999993</v>
      </c>
      <c r="K121" s="17">
        <f>'Datos Actividad'!$M117*'FE Sectorial'!$H120*'FE Sectorial'!L120/1000/1000</f>
        <v>32292.451643999997</v>
      </c>
      <c r="L121" s="17">
        <f>'Datos Actividad'!$M117*'FE Sectorial'!$H120*'FE Sectorial'!M120/1000/1000</f>
        <v>21528.301095999996</v>
      </c>
      <c r="M121" s="17">
        <f>'Datos Actividad'!$M117*'FE Sectorial'!$H120*'FE Sectorial'!N120/1000/1000</f>
        <v>4305.6602192</v>
      </c>
      <c r="N121" s="17">
        <f>'Datos Actividad'!$M117*'FE Sectorial'!$H120*'FE Sectorial'!O120/1000/1000</f>
        <v>4263.0299199999999</v>
      </c>
      <c r="O121" s="87">
        <f>IF(D121&lt;400,H121+I121*'Factores generales'!$M$41+J121*'Factores generales'!$N$41,I121*'Factores generales'!$M$41+J121*'Factores generales'!$N$41)</f>
        <v>1666139.8067227281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308265.80429408938</v>
      </c>
      <c r="I122" s="15">
        <f t="shared" ref="I122:O122" si="33">I123+I124</f>
        <v>29.024167022199997</v>
      </c>
      <c r="J122" s="15">
        <f t="shared" si="33"/>
        <v>8.2926191491999983</v>
      </c>
      <c r="K122" s="15">
        <f t="shared" si="33"/>
        <v>6219.4643618999999</v>
      </c>
      <c r="L122" s="15">
        <f t="shared" si="33"/>
        <v>4146.3095745999999</v>
      </c>
      <c r="M122" s="15">
        <f t="shared" si="33"/>
        <v>829.26191491999987</v>
      </c>
      <c r="N122" s="15">
        <f t="shared" si="33"/>
        <v>353.24031095199996</v>
      </c>
      <c r="O122" s="15">
        <f t="shared" si="33"/>
        <v>311446.02373780758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Actividad'!$M119*'FE Sectorial'!$H122*'FE Sectorial'!I122*'FE Sectorial'!P122/1000</f>
        <v>212180.03207226537</v>
      </c>
      <c r="I123" s="17">
        <f>'Datos Actividad'!$M119*'FE Sectorial'!$H122*'FE Sectorial'!J122/1000/1000</f>
        <v>20.246462254199997</v>
      </c>
      <c r="J123" s="17">
        <f>'Datos Actividad'!$M119*'FE Sectorial'!$H122*'FE Sectorial'!K122/1000/1000</f>
        <v>5.7847035011999983</v>
      </c>
      <c r="K123" s="17">
        <f>'Datos Actividad'!$M119*'FE Sectorial'!$H122*'FE Sectorial'!L122/1000/1000</f>
        <v>4338.5276258999993</v>
      </c>
      <c r="L123" s="17">
        <f>'Datos Actividad'!$M119*'FE Sectorial'!$H122*'FE Sectorial'!M122/1000/1000</f>
        <v>2892.3517505999994</v>
      </c>
      <c r="M123" s="17">
        <f>'Datos Actividad'!$M119*'FE Sectorial'!$H122*'FE Sectorial'!N122/1000/1000</f>
        <v>578.47035011999981</v>
      </c>
      <c r="N123" s="17">
        <f>'Datos Actividad'!$M119*'FE Sectorial'!$H122*'FE Sectorial'!O122/1000/1000</f>
        <v>104.93183095199997</v>
      </c>
      <c r="O123" s="87">
        <f>IF(D123&lt;400,H123+I123*'Factores generales'!$M$41+J123*'Factores generales'!$N$41,I123*'Factores generales'!$M$41+J123*'Factores generales'!$N$41)</f>
        <v>214398.46586497559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Actividad'!$M120*'FE Sectorial'!$H123*'FE Sectorial'!I123*'FE Sectorial'!P123/1000</f>
        <v>96085.772221824009</v>
      </c>
      <c r="I124" s="17">
        <f>'Datos Actividad'!$M120*'FE Sectorial'!$H123*'FE Sectorial'!J123/1000/1000</f>
        <v>8.7777047679999995</v>
      </c>
      <c r="J124" s="17">
        <f>'Datos Actividad'!$M120*'FE Sectorial'!$H123*'FE Sectorial'!K123/1000/1000</f>
        <v>2.507915648</v>
      </c>
      <c r="K124" s="17">
        <f>'Datos Actividad'!$M120*'FE Sectorial'!$H123*'FE Sectorial'!L123/1000/1000</f>
        <v>1880.9367360000001</v>
      </c>
      <c r="L124" s="17">
        <f>'Datos Actividad'!$M120*'FE Sectorial'!$H123*'FE Sectorial'!M123/1000/1000</f>
        <v>1253.9578240000001</v>
      </c>
      <c r="M124" s="17">
        <f>'Datos Actividad'!$M120*'FE Sectorial'!$H123*'FE Sectorial'!N123/1000/1000</f>
        <v>250.79156480000003</v>
      </c>
      <c r="N124" s="17">
        <f>'Datos Actividad'!$M120*'FE Sectorial'!$H123*'FE Sectorial'!O123/1000/1000</f>
        <v>248.30848</v>
      </c>
      <c r="O124" s="87">
        <f>IF(D124&lt;400,H124+I124*'Factores generales'!$M$41+J124*'Factores generales'!$N$41,I124*'Factores generales'!$M$41+J124*'Factores generales'!$N$41)</f>
        <v>97047.557872832011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2580928.0701335995</v>
      </c>
      <c r="I125" s="134">
        <f t="shared" si="34"/>
        <v>46.230445799999998</v>
      </c>
      <c r="J125" s="134">
        <f t="shared" si="34"/>
        <v>4.6250053800000002</v>
      </c>
      <c r="K125" s="134">
        <f t="shared" si="34"/>
        <v>6932.9328700000005</v>
      </c>
      <c r="L125" s="134">
        <f t="shared" si="34"/>
        <v>924.314796</v>
      </c>
      <c r="M125" s="134">
        <f t="shared" si="34"/>
        <v>231.08686900000001</v>
      </c>
      <c r="N125" s="134">
        <f t="shared" si="34"/>
        <v>0.23712</v>
      </c>
      <c r="O125" s="134">
        <f t="shared" si="34"/>
        <v>2583332.6611631997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2580928.0701335995</v>
      </c>
      <c r="I126" s="15">
        <f t="shared" si="35"/>
        <v>46.230445799999998</v>
      </c>
      <c r="J126" s="15">
        <f t="shared" si="35"/>
        <v>4.6250053800000002</v>
      </c>
      <c r="K126" s="15">
        <f t="shared" si="35"/>
        <v>6932.9328700000005</v>
      </c>
      <c r="L126" s="15">
        <f t="shared" si="35"/>
        <v>924.314796</v>
      </c>
      <c r="M126" s="15">
        <f t="shared" si="35"/>
        <v>231.08686900000001</v>
      </c>
      <c r="N126" s="15">
        <f t="shared" si="35"/>
        <v>0.23712</v>
      </c>
      <c r="O126" s="15">
        <f t="shared" si="35"/>
        <v>2583332.6611631997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Actividad'!$M123*'FE Sectorial'!$H126*'FE Sectorial'!I126*'FE Sectorial'!P126/1000</f>
        <v>2542711.5666215997</v>
      </c>
      <c r="I127" s="17">
        <f>'Datos Actividad'!$M123*'FE Sectorial'!$H126*'FE Sectorial'!J126/1000/1000</f>
        <v>45.552388800000003</v>
      </c>
      <c r="J127" s="17">
        <f>'Datos Actividad'!$M123*'FE Sectorial'!$H126*'FE Sectorial'!K126/1000/1000</f>
        <v>4.5552388800000001</v>
      </c>
      <c r="K127" s="17">
        <f>'Datos Actividad'!$M123*'FE Sectorial'!$H126*'FE Sectorial'!L126/1000/1000</f>
        <v>6832.8583200000003</v>
      </c>
      <c r="L127" s="17">
        <f>'Datos Actividad'!$M123*'FE Sectorial'!$H126*'FE Sectorial'!M126/1000/1000</f>
        <v>911.047776</v>
      </c>
      <c r="M127" s="17">
        <f>'Datos Actividad'!$M123*'FE Sectorial'!$H126*'FE Sectorial'!N126/1000/1000</f>
        <v>227.761944</v>
      </c>
      <c r="N127" s="17">
        <f>'Datos Actividad'!$M123*'FE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2545080.2908391994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Actividad'!$M124*'FE Sectorial'!$H127*'FE Sectorial'!I127*'FE Sectorial'!P127/1000</f>
        <v>479.474424</v>
      </c>
      <c r="I128" s="17">
        <f>'Datos Actividad'!$M124*'FE Sectorial'!$H127*'FE Sectorial'!J127/1000/1000</f>
        <v>1.9608E-2</v>
      </c>
      <c r="J128" s="17">
        <f>'Datos Actividad'!$M124*'FE Sectorial'!$H127*'FE Sectorial'!K127/1000/1000</f>
        <v>3.9215999999999999E-3</v>
      </c>
      <c r="K128" s="17">
        <f>'Datos Actividad'!$M124*'FE Sectorial'!$H127*'FE Sectorial'!L127/1000/1000</f>
        <v>1.3072000000000001</v>
      </c>
      <c r="L128" s="17">
        <f>'Datos Actividad'!$M124*'FE Sectorial'!$H127*'FE Sectorial'!M127/1000/1000</f>
        <v>9.8040000000000002E-2</v>
      </c>
      <c r="M128" s="17">
        <f>'Datos Actividad'!$M124*'FE Sectorial'!$H127*'FE Sectorial'!N127/1000/1000</f>
        <v>3.2680000000000001E-2</v>
      </c>
      <c r="N128" s="17">
        <f>'Datos Actividad'!$M124*'FE Sectorial'!$H127*'FE Sectorial'!O127/1000/1000</f>
        <v>0.23712</v>
      </c>
      <c r="O128" s="87">
        <f>IF(D128&lt;400,H128+I128*'Factores generales'!$M$41+J128*'Factores generales'!$N$41,I128*'Factores generales'!$M$41+J128*'Factores generales'!$N$41)</f>
        <v>481.10188799999997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Actividad'!$M125*'FE Sectorial'!$H128*'FE Sectorial'!I128*'FE Sectorial'!P128/1000</f>
        <v>37737.029088000003</v>
      </c>
      <c r="I129" s="17">
        <f>'Datos Actividad'!$M125*'FE Sectorial'!$H128*'FE Sectorial'!J128/1000/1000</f>
        <v>0.65844899999999995</v>
      </c>
      <c r="J129" s="17">
        <f>'Datos Actividad'!$M125*'FE Sectorial'!$H128*'FE Sectorial'!K128/1000/1000</f>
        <v>6.5844900000000012E-2</v>
      </c>
      <c r="K129" s="17">
        <f>'Datos Actividad'!$M125*'FE Sectorial'!$H128*'FE Sectorial'!L128/1000/1000</f>
        <v>98.767350000000008</v>
      </c>
      <c r="L129" s="17">
        <f>'Datos Actividad'!$M125*'FE Sectorial'!$H128*'FE Sectorial'!M128/1000/1000</f>
        <v>13.168979999999999</v>
      </c>
      <c r="M129" s="17">
        <f>'Datos Actividad'!$M125*'FE Sectorial'!$H128*'FE Sectorial'!N128/1000/1000</f>
        <v>3.2922449999999999</v>
      </c>
      <c r="N129" s="17">
        <f>'Datos Actividad'!$M125*'FE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37771.268435999998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35835001.634625867</v>
      </c>
      <c r="I131" s="129">
        <f t="shared" si="36"/>
        <v>4378.0128647328293</v>
      </c>
      <c r="J131" s="129">
        <f t="shared" si="36"/>
        <v>259.17145285654669</v>
      </c>
      <c r="K131" s="129">
        <f t="shared" si="36"/>
        <v>286095.90374703082</v>
      </c>
      <c r="L131" s="129">
        <f t="shared" si="36"/>
        <v>366601.91824494104</v>
      </c>
      <c r="M131" s="129">
        <f t="shared" si="36"/>
        <v>47242.460797151951</v>
      </c>
      <c r="N131" s="129">
        <f t="shared" si="36"/>
        <v>9797.3089656790253</v>
      </c>
      <c r="O131" s="129">
        <f t="shared" si="36"/>
        <v>36007283.055170782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3626076.1920401603</v>
      </c>
      <c r="I132" s="134">
        <f>SUM(I133:I137)</f>
        <v>162.68086241114304</v>
      </c>
      <c r="J132" s="134">
        <f t="shared" ref="J132:O132" si="37">SUM(J133:J137)</f>
        <v>20.524888306523703</v>
      </c>
      <c r="K132" s="134">
        <f t="shared" si="37"/>
        <v>9543.6770585848335</v>
      </c>
      <c r="L132" s="134">
        <f t="shared" si="37"/>
        <v>18323.218796950478</v>
      </c>
      <c r="M132" s="134">
        <f t="shared" si="37"/>
        <v>2150.2393303727931</v>
      </c>
      <c r="N132" s="134">
        <f t="shared" si="37"/>
        <v>1108.7441542759775</v>
      </c>
      <c r="O132" s="134">
        <f t="shared" si="37"/>
        <v>3635855.2055258164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Actividad'!$M129*'FE Sectorial'!$H132*'FE Sectorial'!I132*'FE Sectorial'!P132/1000</f>
        <v>298111.64957227418</v>
      </c>
      <c r="I133" s="17">
        <f>'Datos Actividad'!$M129*'FE Sectorial'!$H132*'FE Sectorial'!J132/1000/1000</f>
        <v>91.783143341217425</v>
      </c>
      <c r="J133" s="17">
        <f>'Datos Actividad'!$M129*'FE Sectorial'!$H132*'FE Sectorial'!K132/1000/1000</f>
        <v>12.237752445495659</v>
      </c>
      <c r="K133" s="17">
        <f>'Datos Actividad'!$M129*'FE Sectorial'!$H132*'FE Sectorial'!L132/1000/1000</f>
        <v>305.94381113739144</v>
      </c>
      <c r="L133" s="17">
        <f>'Datos Actividad'!$M129*'FE Sectorial'!$H132*'FE Sectorial'!M132/1000/1000</f>
        <v>15297.190556869573</v>
      </c>
      <c r="M133" s="17">
        <f>'Datos Actividad'!$M129*'FE Sectorial'!$H132*'FE Sectorial'!N132/1000/1000</f>
        <v>1835.6628668243486</v>
      </c>
      <c r="N133" s="17">
        <f>'Datos Actividad'!$M129*'FE Sectorial'!$H132*'FE Sectorial'!O132/1000/1000</f>
        <v>784.47131060869594</v>
      </c>
      <c r="O133" s="87">
        <f>IF(D133&lt;400,H133+I133*'Factores generales'!$M$41+J133*'Factores generales'!$N$41,I133*'Factores generales'!$M$41+J133*'Factores generales'!$N$41)</f>
        <v>5721.1492682692206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Actividad'!$M130*'FE Sectorial'!$H133*'FE Sectorial'!I133*'FE Sectorial'!P133/1000</f>
        <v>2944311.2727803281</v>
      </c>
      <c r="I134" s="17">
        <f>'Datos Actividad'!$M130*'FE Sectorial'!$H133*'FE Sectorial'!J133/1000/1000</f>
        <v>52.747001903999994</v>
      </c>
      <c r="J134" s="17">
        <f>'Datos Actividad'!$M130*'FE Sectorial'!$H133*'FE Sectorial'!K133/1000/1000</f>
        <v>5.2747001904000008</v>
      </c>
      <c r="K134" s="17">
        <f>'Datos Actividad'!$M130*'FE Sectorial'!$H133*'FE Sectorial'!L133/1000/1000</f>
        <v>7912.0502855999994</v>
      </c>
      <c r="L134" s="17">
        <f>'Datos Actividad'!$M130*'FE Sectorial'!$H133*'FE Sectorial'!M133/1000/1000</f>
        <v>2637.3500951999999</v>
      </c>
      <c r="M134" s="17">
        <f>'Datos Actividad'!$M130*'FE Sectorial'!$H133*'FE Sectorial'!N133/1000/1000</f>
        <v>263.73500951999995</v>
      </c>
      <c r="N134" s="17">
        <f>'Datos Actividad'!$M130*'FE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2947054.1168793361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Actividad'!$M131*'FE Sectorial'!$H134*'FE Sectorial'!I134*'FE Sectorial'!P134/1000</f>
        <v>385875.86219178082</v>
      </c>
      <c r="I135" s="17">
        <f>'Datos Actividad'!$M131*'FE Sectorial'!$H134*'FE Sectorial'!J134/1000/1000</f>
        <v>6.1770776255707762</v>
      </c>
      <c r="J135" s="17">
        <f>'Datos Actividad'!$M131*'FE Sectorial'!$H134*'FE Sectorial'!K134/1000/1000</f>
        <v>0.6177077625570776</v>
      </c>
      <c r="K135" s="17">
        <f>'Datos Actividad'!$M131*'FE Sectorial'!$H134*'FE Sectorial'!L134/1000/1000</f>
        <v>926.56164383561634</v>
      </c>
      <c r="L135" s="17">
        <f>'Datos Actividad'!$M131*'FE Sectorial'!$H134*'FE Sectorial'!M134/1000/1000</f>
        <v>308.85388127853884</v>
      </c>
      <c r="M135" s="17">
        <f>'Datos Actividad'!$M131*'FE Sectorial'!$H134*'FE Sectorial'!N134/1000/1000</f>
        <v>30.885388127853879</v>
      </c>
      <c r="N135" s="17">
        <f>'Datos Actividad'!$M131*'FE Sectorial'!$H134*'FE Sectorial'!O134/1000/1000</f>
        <v>26.118721461187217</v>
      </c>
      <c r="O135" s="87">
        <f>IF(D135&lt;400,H135+I135*'Factores generales'!$M$41+J135*'Factores generales'!$N$41,I135*'Factores generales'!$M$41+J135*'Factores generales'!$N$41)</f>
        <v>386197.07022831048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Actividad'!$M132*'FE Sectorial'!$H135*'FE Sectorial'!I135*'FE Sectorial'!P135/1000</f>
        <v>223235.09870070469</v>
      </c>
      <c r="I136" s="17">
        <f>'Datos Actividad'!$M132*'FE Sectorial'!$H135*'FE Sectorial'!J135/1000/1000</f>
        <v>9.1291497444364573</v>
      </c>
      <c r="J136" s="17">
        <f>'Datos Actividad'!$M132*'FE Sectorial'!$H135*'FE Sectorial'!K135/1000/1000</f>
        <v>1.8258299488872916</v>
      </c>
      <c r="K136" s="17">
        <f>'Datos Actividad'!$M132*'FE Sectorial'!$H135*'FE Sectorial'!L135/1000/1000</f>
        <v>304.30499148121527</v>
      </c>
      <c r="L136" s="17">
        <f>'Datos Actividad'!$M132*'FE Sectorial'!$H135*'FE Sectorial'!M135/1000/1000</f>
        <v>60.860998296243061</v>
      </c>
      <c r="M136" s="17">
        <f>'Datos Actividad'!$M132*'FE Sectorial'!$H135*'FE Sectorial'!N135/1000/1000</f>
        <v>15.215249574060765</v>
      </c>
      <c r="N136" s="17">
        <f>'Datos Actividad'!$M132*'FE Sectorial'!$H135*'FE Sectorial'!O135/1000/1000</f>
        <v>110.39902016527812</v>
      </c>
      <c r="O136" s="87">
        <f>IF(D136&lt;400,H136+I136*'Factores generales'!$M$41+J136*'Factores generales'!$N$41,I136*'Factores generales'!$M$41+J136*'Factores generales'!$N$41)</f>
        <v>223992.81812949292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Actividad'!$M133*'FE Sectorial'!$H136*'FE Sectorial'!I136*'FE Sectorial'!P136/1000</f>
        <v>72653.958367346946</v>
      </c>
      <c r="I137" s="17">
        <f>'Datos Actividad'!$M133*'FE Sectorial'!$H136*'FE Sectorial'!J136/1000/1000</f>
        <v>2.844489795918367</v>
      </c>
      <c r="J137" s="17">
        <f>'Datos Actividad'!$M133*'FE Sectorial'!$H136*'FE Sectorial'!K136/1000/1000</f>
        <v>0.56889795918367347</v>
      </c>
      <c r="K137" s="17">
        <f>'Datos Actividad'!$M133*'FE Sectorial'!$H136*'FE Sectorial'!L136/1000/1000</f>
        <v>94.816326530612244</v>
      </c>
      <c r="L137" s="17">
        <f>'Datos Actividad'!$M133*'FE Sectorial'!$H136*'FE Sectorial'!M136/1000/1000</f>
        <v>18.963265306122448</v>
      </c>
      <c r="M137" s="17">
        <f>'Datos Actividad'!$M133*'FE Sectorial'!$H136*'FE Sectorial'!N136/1000/1000</f>
        <v>4.740816326530612</v>
      </c>
      <c r="N137" s="17">
        <f>'Datos Actividad'!$M133*'FE Sectorial'!$H136*'FE Sectorial'!O136/1000/1000</f>
        <v>187.75510204081633</v>
      </c>
      <c r="O137" s="87">
        <f>IF(D137&lt;400,H137+I137*'Factores generales'!$M$41+J137*'Factores generales'!$N$41,I137*'Factores generales'!$M$41+J137*'Factores generales'!$N$41)</f>
        <v>72890.051020408166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18210789.177855399</v>
      </c>
      <c r="I138" s="134">
        <f>SUM(I139:I144)</f>
        <v>3647.0813978007186</v>
      </c>
      <c r="J138" s="134">
        <f t="shared" ref="J138:O138" si="38">SUM(J139:J144)</f>
        <v>125.2556217280212</v>
      </c>
      <c r="K138" s="134">
        <f t="shared" si="38"/>
        <v>49899.930085538377</v>
      </c>
      <c r="L138" s="134">
        <f t="shared" si="38"/>
        <v>159596.16917387806</v>
      </c>
      <c r="M138" s="134">
        <f t="shared" si="38"/>
        <v>7368.6743160662372</v>
      </c>
      <c r="N138" s="134">
        <f t="shared" si="38"/>
        <v>1630.3825433391198</v>
      </c>
      <c r="O138" s="134">
        <f t="shared" si="38"/>
        <v>18326207.129944894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Actividad'!$M135*'FE Sectorial'!$H138*'FE Sectorial'!I138*'FE Sectorial'!P138/1000</f>
        <v>447167.47435841127</v>
      </c>
      <c r="I139" s="17">
        <f>'Datos Actividad'!$M135*'FE Sectorial'!$H138*'FE Sectorial'!J138/1000/1000</f>
        <v>137.67471501182612</v>
      </c>
      <c r="J139" s="17">
        <f>'Datos Actividad'!$M135*'FE Sectorial'!$H138*'FE Sectorial'!K138/1000/1000</f>
        <v>18.356628668243484</v>
      </c>
      <c r="K139" s="17">
        <f>'Datos Actividad'!$M135*'FE Sectorial'!$H138*'FE Sectorial'!L138/1000/1000</f>
        <v>458.91571670608704</v>
      </c>
      <c r="L139" s="17">
        <f>'Datos Actividad'!$M135*'FE Sectorial'!$H138*'FE Sectorial'!M138/1000/1000</f>
        <v>22945.785835304352</v>
      </c>
      <c r="M139" s="17">
        <f>'Datos Actividad'!$M135*'FE Sectorial'!$H138*'FE Sectorial'!N138/1000/1000</f>
        <v>2753.4943002365221</v>
      </c>
      <c r="N139" s="17">
        <f>'Datos Actividad'!$M135*'FE Sectorial'!$H138*'FE Sectorial'!O138/1000/1000</f>
        <v>1176.7069659130439</v>
      </c>
      <c r="O139" s="87">
        <f>IF(D139&lt;400,H139+I139*'Factores generales'!$M$41+J139*'Factores generales'!$N$41,I139*'Factores generales'!$M$41+J139*'Factores generales'!$N$41)</f>
        <v>8581.7239024038281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Actividad'!$M136*'FE Sectorial'!$H139*'FE Sectorial'!I139*'FE Sectorial'!P139/1000</f>
        <v>212376.54502467648</v>
      </c>
      <c r="I140" s="17">
        <f>'Datos Actividad'!$M136*'FE Sectorial'!$H139*'FE Sectorial'!J139/1000/1000</f>
        <v>73.233291387819463</v>
      </c>
      <c r="J140" s="17">
        <f>'Datos Actividad'!$M136*'FE Sectorial'!$H139*'FE Sectorial'!K139/1000/1000</f>
        <v>9.7644388517092633</v>
      </c>
      <c r="K140" s="17">
        <f>'Datos Actividad'!$M136*'FE Sectorial'!$H139*'FE Sectorial'!L139/1000/1000</f>
        <v>244.11097129273159</v>
      </c>
      <c r="L140" s="17">
        <f>'Datos Actividad'!$M136*'FE Sectorial'!$H139*'FE Sectorial'!M139/1000/1000</f>
        <v>12205.54856463658</v>
      </c>
      <c r="M140" s="17">
        <f>'Datos Actividad'!$M136*'FE Sectorial'!$H139*'FE Sectorial'!N139/1000/1000</f>
        <v>1464.6658277563895</v>
      </c>
      <c r="N140" s="17">
        <f>'Datos Actividad'!$M136*'FE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4564.8751631740797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Actividad'!$M137*'FE Sectorial'!$H140*'FE Sectorial'!I140*'FE Sectorial'!P140/1000</f>
        <v>15202762.456959002</v>
      </c>
      <c r="I141" s="17">
        <f>'Datos Actividad'!$M137*'FE Sectorial'!$H140*'FE Sectorial'!J140/1000/1000</f>
        <v>272.35576199999997</v>
      </c>
      <c r="J141" s="17">
        <f>'Datos Actividad'!$M137*'FE Sectorial'!$H140*'FE Sectorial'!K140/1000/1000</f>
        <v>27.235576200000004</v>
      </c>
      <c r="K141" s="17">
        <f>'Datos Actividad'!$M137*'FE Sectorial'!$H140*'FE Sectorial'!L140/1000/1000</f>
        <v>40853.364299999994</v>
      </c>
      <c r="L141" s="17">
        <f>'Datos Actividad'!$M137*'FE Sectorial'!$H140*'FE Sectorial'!M140/1000/1000</f>
        <v>13617.7881</v>
      </c>
      <c r="M141" s="17">
        <f>'Datos Actividad'!$M137*'FE Sectorial'!$H140*'FE Sectorial'!N140/1000/1000</f>
        <v>1361.77881</v>
      </c>
      <c r="N141" s="17">
        <f>'Datos Actividad'!$M137*'FE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15216924.956583001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Actividad'!$M138*'FE Sectorial'!$H141*'FE Sectorial'!I141*'FE Sectorial'!P141/1000</f>
        <v>2571606.2704109587</v>
      </c>
      <c r="I142" s="17">
        <f>'Datos Actividad'!$M138*'FE Sectorial'!$H141*'FE Sectorial'!J141/1000/1000</f>
        <v>41.166118721461189</v>
      </c>
      <c r="J142" s="17">
        <f>'Datos Actividad'!$M138*'FE Sectorial'!$H141*'FE Sectorial'!K141/1000/1000</f>
        <v>4.1166118721461178</v>
      </c>
      <c r="K142" s="17">
        <f>'Datos Actividad'!$M138*'FE Sectorial'!$H141*'FE Sectorial'!L141/1000/1000</f>
        <v>6174.9178082191775</v>
      </c>
      <c r="L142" s="17">
        <f>'Datos Actividad'!$M138*'FE Sectorial'!$H141*'FE Sectorial'!M141/1000/1000</f>
        <v>2058.305936073059</v>
      </c>
      <c r="M142" s="17">
        <f>'Datos Actividad'!$M138*'FE Sectorial'!$H141*'FE Sectorial'!N141/1000/1000</f>
        <v>205.83059360730593</v>
      </c>
      <c r="N142" s="17">
        <f>'Datos Actividad'!$M138*'FE Sectorial'!$H141*'FE Sectorial'!O141/1000/1000</f>
        <v>174.06392694063931</v>
      </c>
      <c r="O142" s="87">
        <f>IF(D142&lt;400,H142+I142*'Factores generales'!$M$41+J142*'Factores generales'!$N$41,I142*'Factores generales'!$M$41+J142*'Factores generales'!$N$41)</f>
        <v>2573746.9085844746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Actividad'!$M139*'FE Sectorial'!$H142*'FE Sectorial'!I142*'FE Sectorial'!P142/1000</f>
        <v>436420.45048543694</v>
      </c>
      <c r="I143" s="17">
        <f>'Datos Actividad'!$M139*'FE Sectorial'!$H142*'FE Sectorial'!J142/1000/1000</f>
        <v>18.496310679611646</v>
      </c>
      <c r="J143" s="17">
        <f>'Datos Actividad'!$M139*'FE Sectorial'!$H142*'FE Sectorial'!K142/1000/1000</f>
        <v>3.6992621359223299</v>
      </c>
      <c r="K143" s="17">
        <f>'Datos Actividad'!$M139*'FE Sectorial'!$H142*'FE Sectorial'!L142/1000/1000</f>
        <v>616.54368932038835</v>
      </c>
      <c r="L143" s="17">
        <f>'Datos Actividad'!$M139*'FE Sectorial'!$H142*'FE Sectorial'!M142/1000/1000</f>
        <v>123.30873786407767</v>
      </c>
      <c r="M143" s="17">
        <f>'Datos Actividad'!$M139*'FE Sectorial'!$H142*'FE Sectorial'!N142/1000/1000</f>
        <v>30.827184466019418</v>
      </c>
      <c r="N143" s="17">
        <f>'Datos Actividad'!$M139*'FE Sectorial'!$H142*'FE Sectorial'!O142/1000/1000</f>
        <v>279.61165048543683</v>
      </c>
      <c r="O143" s="87">
        <f>IF(D143&lt;400,H143+I143*'Factores generales'!$M$41+J143*'Factores generales'!$N$41,I143*'Factores generales'!$M$41+J143*'Factores generales'!$N$41)</f>
        <v>437955.64427184471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Actividad'!$M140*'FE Sectorial'!$H143*'FE Sectorial'!I143*'FE Sectorial'!P143/1000</f>
        <v>1512344.41344</v>
      </c>
      <c r="I144" s="17">
        <f>'Datos Actividad'!$M140*'FE Sectorial'!$H143*'FE Sectorial'!J143/1000/1000</f>
        <v>3104.1552000000001</v>
      </c>
      <c r="J144" s="17">
        <f>'Datos Actividad'!$M140*'FE Sectorial'!$H143*'FE Sectorial'!K143/1000/1000</f>
        <v>62.083103999999999</v>
      </c>
      <c r="K144" s="17">
        <f>'Datos Actividad'!$M140*'FE Sectorial'!$H143*'FE Sectorial'!L143/1000/1000</f>
        <v>1552.0776000000001</v>
      </c>
      <c r="L144" s="17">
        <f>'Datos Actividad'!$M140*'FE Sectorial'!$H143*'FE Sectorial'!M143/1000/1000</f>
        <v>108645.432</v>
      </c>
      <c r="M144" s="17">
        <f>'Datos Actividad'!$M140*'FE Sectorial'!$H143*'FE Sectorial'!N143/1000/1000</f>
        <v>1552.0776000000001</v>
      </c>
      <c r="N144" s="17">
        <f>'Datos Actividad'!$M140*'FE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84433.021439999997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13998136.264730312</v>
      </c>
      <c r="I145" s="134">
        <f t="shared" ref="I145:O145" si="39">SUM(I146:I149)</f>
        <v>568.25060452096784</v>
      </c>
      <c r="J145" s="134">
        <f t="shared" si="39"/>
        <v>113.39094282200176</v>
      </c>
      <c r="K145" s="134">
        <f t="shared" si="39"/>
        <v>226652.29660290762</v>
      </c>
      <c r="L145" s="134">
        <f t="shared" si="39"/>
        <v>188682.53027411253</v>
      </c>
      <c r="M145" s="134">
        <f t="shared" si="39"/>
        <v>37723.547150712919</v>
      </c>
      <c r="N145" s="134">
        <f t="shared" si="39"/>
        <v>7058.1822680639279</v>
      </c>
      <c r="O145" s="134">
        <f t="shared" si="39"/>
        <v>14045220.719700072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Actividad'!$M142*'FE Sectorial'!$H145*'FE Sectorial'!I145*'FE Sectorial'!P145/1000</f>
        <v>161905.95616438356</v>
      </c>
      <c r="I146" s="17">
        <f>'Datos Actividad'!$M142*'FE Sectorial'!$H145*'FE Sectorial'!J145/1000/1000</f>
        <v>2.591780821917808</v>
      </c>
      <c r="J146" s="17">
        <f>'Datos Actividad'!$M142*'FE Sectorial'!$H145*'FE Sectorial'!K145/1000/1000</f>
        <v>0.25917808219178085</v>
      </c>
      <c r="K146" s="17">
        <f>'Datos Actividad'!$M142*'FE Sectorial'!$H145*'FE Sectorial'!L145/1000/1000</f>
        <v>388.76712328767121</v>
      </c>
      <c r="L146" s="17">
        <f>'Datos Actividad'!$M142*'FE Sectorial'!$H145*'FE Sectorial'!M145/1000/1000</f>
        <v>129.58904109589039</v>
      </c>
      <c r="M146" s="17">
        <f>'Datos Actividad'!$M142*'FE Sectorial'!$H145*'FE Sectorial'!N145/1000/1000</f>
        <v>12.95890410958904</v>
      </c>
      <c r="N146" s="17">
        <f>'Datos Actividad'!$M142*'FE Sectorial'!$H145*'FE Sectorial'!O145/1000/1000</f>
        <v>10.958904109589042</v>
      </c>
      <c r="O146" s="87">
        <f>IF(D146&lt;400,H146+I146*'Factores generales'!$M$41+J146*'Factores generales'!$N$41,I146*'Factores generales'!$M$41+J146*'Factores generales'!$N$41)</f>
        <v>162040.72876712328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Actividad'!$M143*'FE Sectorial'!$H146*'FE Sectorial'!I146*'FE Sectorial'!P146/1000</f>
        <v>0</v>
      </c>
      <c r="I147" s="17">
        <f>'Datos Actividad'!$M143*'FE Sectorial'!$H146*'FE Sectorial'!J146/1000/1000</f>
        <v>0</v>
      </c>
      <c r="J147" s="17">
        <f>'Datos Actividad'!$M143*'FE Sectorial'!$H146*'FE Sectorial'!K146/1000/1000</f>
        <v>0</v>
      </c>
      <c r="K147" s="17">
        <f>'Datos Actividad'!$M143*'FE Sectorial'!$H146*'FE Sectorial'!L146/1000/1000</f>
        <v>0</v>
      </c>
      <c r="L147" s="17">
        <f>'Datos Actividad'!$M143*'FE Sectorial'!$H146*'FE Sectorial'!M146/1000/1000</f>
        <v>0</v>
      </c>
      <c r="M147" s="17">
        <f>'Datos Actividad'!$M143*'FE Sectorial'!$H146*'FE Sectorial'!N146/1000/1000</f>
        <v>0</v>
      </c>
      <c r="N147" s="17">
        <f>'Datos Actividad'!$M143*'FE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Actividad'!$M144*'FE Sectorial'!$H147*'FE Sectorial'!I147*'FE Sectorial'!P147/1000</f>
        <v>13738305.408157764</v>
      </c>
      <c r="I148" s="17">
        <f>'Datos Actividad'!$M144*'FE Sectorial'!$H147*'FE Sectorial'!J147/1000/1000</f>
        <v>561.82494614802954</v>
      </c>
      <c r="J148" s="17">
        <f>'Datos Actividad'!$M144*'FE Sectorial'!$H147*'FE Sectorial'!K147/1000/1000</f>
        <v>112.3649892296059</v>
      </c>
      <c r="K148" s="17">
        <f>'Datos Actividad'!$M144*'FE Sectorial'!$H147*'FE Sectorial'!L147/1000/1000</f>
        <v>224729.97845921179</v>
      </c>
      <c r="L148" s="17">
        <f>'Datos Actividad'!$M144*'FE Sectorial'!$H147*'FE Sectorial'!M147/1000/1000</f>
        <v>187274.98204934318</v>
      </c>
      <c r="M148" s="17">
        <f>'Datos Actividad'!$M144*'FE Sectorial'!$H147*'FE Sectorial'!N147/1000/1000</f>
        <v>37454.996409868632</v>
      </c>
      <c r="N148" s="17">
        <f>'Datos Actividad'!$M144*'FE Sectorial'!$H147*'FE Sectorial'!O147/1000/1000</f>
        <v>6794.1621394645435</v>
      </c>
      <c r="O148" s="87">
        <f>IF(D148&lt;400,H148+I148*'Factores generales'!$M$41+J148*'Factores generales'!$N$41,I148*'Factores generales'!$M$41+J148*'Factores generales'!$N$41)</f>
        <v>13784936.87868805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Actividad'!$M145*'FE Sectorial'!$H148*'FE Sectorial'!I148*'FE Sectorial'!P148/1000</f>
        <v>97924.900408163259</v>
      </c>
      <c r="I149" s="17">
        <f>'Datos Actividad'!$M145*'FE Sectorial'!$H148*'FE Sectorial'!J148/1000/1000</f>
        <v>3.8338775510204082</v>
      </c>
      <c r="J149" s="17">
        <f>'Datos Actividad'!$M145*'FE Sectorial'!$H148*'FE Sectorial'!K148/1000/1000</f>
        <v>0.76677551020408152</v>
      </c>
      <c r="K149" s="17">
        <f>'Datos Actividad'!$M145*'FE Sectorial'!$H148*'FE Sectorial'!L148/1000/1000</f>
        <v>1533.5510204081634</v>
      </c>
      <c r="L149" s="17">
        <f>'Datos Actividad'!$M145*'FE Sectorial'!$H148*'FE Sectorial'!M148/1000/1000</f>
        <v>1277.9591836734694</v>
      </c>
      <c r="M149" s="17">
        <f>'Datos Actividad'!$M145*'FE Sectorial'!$H148*'FE Sectorial'!N148/1000/1000</f>
        <v>255.59183673469389</v>
      </c>
      <c r="N149" s="17">
        <f>'Datos Actividad'!$M145*'FE Sectorial'!$H148*'FE Sectorial'!O148/1000/1000</f>
        <v>253.0612244897959</v>
      </c>
      <c r="O149" s="87">
        <f>IF(D149&lt;400,H149+I149*'Factores generales'!$M$41+J149*'Factores generales'!$N$41,I149*'Factores generales'!$M$41+J149*'Factores generales'!$N$41)</f>
        <v>98243.112244897944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Actividad'!$M147*'FE Sectorial'!$H150*'FE Sectorial'!I150*'FE Sectorial'!P150/1000</f>
        <v>0</v>
      </c>
      <c r="I151" s="134">
        <f>'Datos Actividad'!$M147*'FE Sectorial'!$H150*'FE Sectorial'!J150/1000/1000</f>
        <v>0</v>
      </c>
      <c r="J151" s="134">
        <f>'Datos Actividad'!$M147*'FE Sectorial'!$H150*'FE Sectorial'!K150/1000/1000</f>
        <v>0</v>
      </c>
      <c r="K151" s="134">
        <f>'Datos Actividad'!$M147*'FE Sectorial'!$H150*'FE Sectorial'!L150/1000/1000</f>
        <v>0</v>
      </c>
      <c r="L151" s="134">
        <f>'Datos Actividad'!$M147*'FE Sectorial'!$H150*'FE Sectorial'!M150/1000/1000</f>
        <v>0</v>
      </c>
      <c r="M151" s="134">
        <f>'Datos Actividad'!$M147*'FE Sectorial'!$H150*'FE Sectorial'!N150/1000/1000</f>
        <v>0</v>
      </c>
      <c r="N151" s="134">
        <f>'Datos Actividad'!$M147*'FE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Actividad'!$M148*'FE Sectorial'!$H151*'FE Sectorial'!I151*'FE Sectorial'!P151/1000</f>
        <v>0</v>
      </c>
      <c r="I152" s="134">
        <f>'Datos Actividad'!$M148*'FE Sectorial'!$H151*'FE Sectorial'!J151/1000/1000</f>
        <v>0</v>
      </c>
      <c r="J152" s="134">
        <f>'Datos Actividad'!$M148*'FE Sectorial'!$H151*'FE Sectorial'!K151/1000/1000</f>
        <v>0</v>
      </c>
      <c r="K152" s="134">
        <f>'Datos Actividad'!$M148*'FE Sectorial'!$H151*'FE Sectorial'!L151/1000/1000</f>
        <v>0</v>
      </c>
      <c r="L152" s="134">
        <f>'Datos Actividad'!$M148*'FE Sectorial'!$H151*'FE Sectorial'!M151/1000/1000</f>
        <v>0</v>
      </c>
      <c r="M152" s="134">
        <f>'Datos Actividad'!$M148*'FE Sectorial'!$H151*'FE Sectorial'!N151/1000/1000</f>
        <v>0</v>
      </c>
      <c r="N152" s="134">
        <f>'Datos Actividad'!$M148*'FE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5309650.8167494321</v>
      </c>
      <c r="I153" s="124">
        <f t="shared" ref="I153:N153" si="41">I154+I168</f>
        <v>364633.6121909651</v>
      </c>
      <c r="J153" s="124">
        <f t="shared" si="41"/>
        <v>32.459884288430501</v>
      </c>
      <c r="K153" s="124">
        <f t="shared" si="41"/>
        <v>1549.8140395339592</v>
      </c>
      <c r="L153" s="124">
        <f t="shared" si="41"/>
        <v>2479.6919218400003</v>
      </c>
      <c r="M153" s="124">
        <f t="shared" si="41"/>
        <v>116135.18407966546</v>
      </c>
      <c r="N153" s="124">
        <f t="shared" si="41"/>
        <v>24796.919218400002</v>
      </c>
      <c r="O153" s="124">
        <f>IF(D153&lt;400,H153+I153*'Factores generales'!$M$41+J153*'Factores generales'!$N$41,I153*'Factores generales'!$M$41+J153*'Factores generales'!$N$41)</f>
        <v>12977019.236889115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5309650.8167494321</v>
      </c>
      <c r="I168" s="129">
        <f t="shared" ref="I168:O168" si="44">I169+I188+I204</f>
        <v>361922.02081060602</v>
      </c>
      <c r="J168" s="129">
        <f t="shared" si="44"/>
        <v>32.459884288430501</v>
      </c>
      <c r="K168" s="129">
        <f t="shared" si="44"/>
        <v>1549.8140395339592</v>
      </c>
      <c r="L168" s="129">
        <f t="shared" si="44"/>
        <v>2479.6919218400003</v>
      </c>
      <c r="M168" s="129">
        <f t="shared" si="44"/>
        <v>116135.18407966546</v>
      </c>
      <c r="N168" s="129">
        <f t="shared" si="44"/>
        <v>24796.919218400002</v>
      </c>
      <c r="O168" s="129">
        <f t="shared" si="44"/>
        <v>12920075.81790157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38964.284134227841</v>
      </c>
      <c r="I169" s="134">
        <f t="shared" ref="I169:O169" si="45">SUM(I170:I187)</f>
        <v>13389.54804438867</v>
      </c>
      <c r="J169" s="134">
        <f t="shared" si="45"/>
        <v>0.27103442364393493</v>
      </c>
      <c r="K169" s="134">
        <f t="shared" si="45"/>
        <v>1549.8140395339592</v>
      </c>
      <c r="L169" s="134">
        <f t="shared" si="45"/>
        <v>2479.6919218400003</v>
      </c>
      <c r="M169" s="134">
        <f t="shared" si="45"/>
        <v>66376.076850180223</v>
      </c>
      <c r="N169" s="134">
        <f t="shared" si="45"/>
        <v>24796.919218400002</v>
      </c>
      <c r="O169" s="134">
        <f t="shared" si="45"/>
        <v>320228.81373771955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Actividad'!$M167*'FE Sectorial'!I170*1000</f>
        <v>1672.3104362903377</v>
      </c>
      <c r="I171" s="92">
        <f>'Datos Actividad'!$M167*'FE Sectorial'!J170*1000</f>
        <v>35.510386549771866</v>
      </c>
      <c r="J171" s="92">
        <f>'Datos Actividad'!$M167*'FE Sectorial'!K170*1000</f>
        <v>1.2307314898059609E-2</v>
      </c>
      <c r="K171" s="92">
        <f>'Datos Actividad'!$M167*'FE Sectorial'!L170*1000</f>
        <v>0</v>
      </c>
      <c r="L171" s="92">
        <f>'Datos Actividad'!$M167*'FE Sectorial'!M170*1000</f>
        <v>0</v>
      </c>
      <c r="M171" s="92">
        <f>'Datos Actividad'!$M167*'FE Sectorial'!N170*1000</f>
        <v>5.4717761912374172</v>
      </c>
      <c r="N171" s="92">
        <f>'Datos Actividad'!$M167*'FE Sectorial'!O170*1000</f>
        <v>0</v>
      </c>
      <c r="O171" s="87">
        <f>IF(D171&lt;400,H171+I171*'Factores generales'!$M$41+J171*'Factores generales'!$N$41,I171*'Factores generales'!$M$41+J171*'Factores generales'!$N$41)</f>
        <v>2421.8438214539456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Actividad'!$M168*'FE Sectorial'!I171*1000</f>
        <v>2898.6714229032523</v>
      </c>
      <c r="I172" s="92">
        <f>'Datos Actividad'!$M168*'FE Sectorial'!J171*1000</f>
        <v>61.551336686271235</v>
      </c>
      <c r="J172" s="92">
        <f>'Datos Actividad'!$M168*'FE Sectorial'!K171*1000</f>
        <v>2.1332679156636655E-2</v>
      </c>
      <c r="K172" s="92">
        <f>'Datos Actividad'!$M168*'FE Sectorial'!L171*1000</f>
        <v>0</v>
      </c>
      <c r="L172" s="92">
        <f>'Datos Actividad'!$M168*'FE Sectorial'!M171*1000</f>
        <v>0</v>
      </c>
      <c r="M172" s="92">
        <f>'Datos Actividad'!$M168*'FE Sectorial'!N171*1000</f>
        <v>9.484412064811524</v>
      </c>
      <c r="N172" s="92">
        <f>'Datos Actividad'!$M168*'FE Sectorial'!O171*1000</f>
        <v>0</v>
      </c>
      <c r="O172" s="87">
        <f>IF(D172&lt;400,H172+I172*'Factores generales'!$M$41+J172*'Factores generales'!$N$41,I172*'Factores generales'!$M$41+J172*'Factores generales'!$N$41)</f>
        <v>4197.8626238535053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Actividad'!$M169*'FE Sectorial'!I172*1000</f>
        <v>32257.010193333626</v>
      </c>
      <c r="I173" s="92">
        <f>'Datos Actividad'!$M169*'FE Sectorial'!J172*1000</f>
        <v>684.95590056004391</v>
      </c>
      <c r="J173" s="92">
        <f>'Datos Actividad'!$M169*'FE Sectorial'!K172*1000</f>
        <v>0.23739442958923868</v>
      </c>
      <c r="K173" s="92">
        <f>'Datos Actividad'!$M169*'FE Sectorial'!L172*1000</f>
        <v>0</v>
      </c>
      <c r="L173" s="92">
        <f>'Datos Actividad'!$M169*'FE Sectorial'!M172*1000</f>
        <v>0</v>
      </c>
      <c r="M173" s="92">
        <f>'Datos Actividad'!$M169*'FE Sectorial'!N172*1000</f>
        <v>105.5444829776462</v>
      </c>
      <c r="N173" s="92">
        <f>'Datos Actividad'!$M169*'FE Sectorial'!O172*1000</f>
        <v>0</v>
      </c>
      <c r="O173" s="87">
        <f>IF(D173&lt;400,H173+I173*'Factores generales'!$M$41+J173*'Factores generales'!$N$41,I173*'Factores generales'!$M$41+J173*'Factores generales'!$N$41)</f>
        <v>46714.676378267206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Actividad'!$M171*'FE Sectorial'!I174</f>
        <v>838.89569665471197</v>
      </c>
      <c r="I175" s="92">
        <f>'Datos Actividad'!$M171*'FE Sectorial'!J174</f>
        <v>11571.739568192999</v>
      </c>
      <c r="J175" s="92">
        <f>'Datos Actividad'!$M171*'FE Sectorial'!K174</f>
        <v>0</v>
      </c>
      <c r="K175" s="92">
        <f>'Datos Actividad'!$M171*'FE Sectorial'!L174</f>
        <v>0</v>
      </c>
      <c r="L175" s="92">
        <f>'Datos Actividad'!$M171*'FE Sectorial'!M174</f>
        <v>0</v>
      </c>
      <c r="M175" s="92">
        <f>'Datos Actividad'!$M171*'FE Sectorial'!N174</f>
        <v>14172.4286892235</v>
      </c>
      <c r="N175" s="92">
        <f>'Datos Actividad'!$M171*'FE Sectorial'!O174</f>
        <v>0</v>
      </c>
      <c r="O175" s="87">
        <f>IF(D175&lt;400,H175+I175*'Factores generales'!$M$41+J175*'Factores generales'!$N$41,I175*'Factores generales'!$M$41+J175*'Factores generales'!$N$41)</f>
        <v>243845.4266287077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Actividad'!$M173*'FE Sectorial'!I176</f>
        <v>0</v>
      </c>
      <c r="I177" s="92">
        <f>'Datos Actividad'!$M173*'FE Sectorial'!J176</f>
        <v>525.55756687368137</v>
      </c>
      <c r="J177" s="92">
        <f>'Datos Actividad'!$M173*'FE Sectorial'!K176</f>
        <v>0</v>
      </c>
      <c r="K177" s="92">
        <f>'Datos Actividad'!$M173*'FE Sectorial'!L176</f>
        <v>0</v>
      </c>
      <c r="L177" s="92">
        <f>'Datos Actividad'!$M173*'FE Sectorial'!M176</f>
        <v>0</v>
      </c>
      <c r="M177" s="92">
        <f>'Datos Actividad'!$M173*'FE Sectorial'!N176</f>
        <v>0</v>
      </c>
      <c r="N177" s="92">
        <f>'Datos Actividad'!$M173*'FE Sectorial'!O176</f>
        <v>0</v>
      </c>
      <c r="O177" s="87">
        <f>IF(D177&lt;400,H177+I177*'Factores generales'!$M$41+J177*'Factores generales'!$N$41,I177*'Factores generales'!$M$41+J177*'Factores generales'!$N$41)</f>
        <v>11036.708904347308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Actividad'!$M174*'FE Sectorial'!I177</f>
        <v>9.666793031457102</v>
      </c>
      <c r="I178" s="92">
        <f>'Datos Actividad'!$M174*'FE Sectorial'!J177</f>
        <v>106.53200483646603</v>
      </c>
      <c r="J178" s="92">
        <f>'Datos Actividad'!$M174*'FE Sectorial'!K177</f>
        <v>0</v>
      </c>
      <c r="K178" s="92">
        <f>'Datos Actividad'!$M174*'FE Sectorial'!L177</f>
        <v>0</v>
      </c>
      <c r="L178" s="92">
        <f>'Datos Actividad'!$M174*'FE Sectorial'!M177</f>
        <v>0</v>
      </c>
      <c r="M178" s="92">
        <f>'Datos Actividad'!$M174*'FE Sectorial'!N177</f>
        <v>1065.3200483646604</v>
      </c>
      <c r="N178" s="92">
        <f>'Datos Actividad'!$M174*'FE Sectorial'!O177</f>
        <v>0</v>
      </c>
      <c r="O178" s="87">
        <f>IF(D178&lt;400,H178+I178*'Factores generales'!$M$41+J178*'Factores generales'!$N$41,I178*'Factores generales'!$M$41+J178*'Factores generales'!$N$41)</f>
        <v>2246.8388945972438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Actividad'!$M177*'FE Sectorial'!I180</f>
        <v>0</v>
      </c>
      <c r="I181" s="92">
        <f>'Datos Actividad'!$M177*'FE Sectorial'!J180</f>
        <v>320.02679529016336</v>
      </c>
      <c r="J181" s="92">
        <f>'Datos Actividad'!$M177*'FE Sectorial'!K180</f>
        <v>0</v>
      </c>
      <c r="K181" s="92">
        <f>'Datos Actividad'!$M177*'FE Sectorial'!L180</f>
        <v>1549.8074511500001</v>
      </c>
      <c r="L181" s="92">
        <f>'Datos Actividad'!$M177*'FE Sectorial'!M180</f>
        <v>2479.6919218400003</v>
      </c>
      <c r="M181" s="92">
        <f>'Datos Actividad'!$M177*'FE Sectorial'!N180</f>
        <v>40294.993729900001</v>
      </c>
      <c r="N181" s="92">
        <f>'Datos Actividad'!$M177*'FE Sectorial'!O180</f>
        <v>24796.919218400002</v>
      </c>
      <c r="O181" s="87">
        <f>IF(D181&lt;400,H181+I181*'Factores generales'!$M$41+J181*'Factores generales'!$N$41,I181*'Factores generales'!$M$41+J181*'Factores generales'!$N$41)</f>
        <v>6720.5627010934304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Actividad'!$M179*'FE Sectorial'!I182</f>
        <v>0</v>
      </c>
      <c r="I183" s="92">
        <f>'Datos Actividad'!$M179*'FE Sectorial'!J182</f>
        <v>83.674485399270964</v>
      </c>
      <c r="J183" s="92">
        <f>'Datos Actividad'!$M179*'FE Sectorial'!K182</f>
        <v>0</v>
      </c>
      <c r="K183" s="92">
        <f>'Datos Actividad'!$M179*'FE Sectorial'!L182</f>
        <v>0</v>
      </c>
      <c r="L183" s="92">
        <f>'Datos Actividad'!$M179*'FE Sectorial'!M182</f>
        <v>0</v>
      </c>
      <c r="M183" s="92">
        <f>'Datos Actividad'!$M179*'FE Sectorial'!N182</f>
        <v>0</v>
      </c>
      <c r="N183" s="92">
        <f>'Datos Actividad'!$M179*'FE Sectorial'!O182</f>
        <v>0</v>
      </c>
      <c r="O183" s="87">
        <f>IF(D183&lt;400,H183+I183*'Factores generales'!$M$41+J183*'Factores generales'!$N$41,I183*'Factores generales'!$M$41+J183*'Factores generales'!$N$41)</f>
        <v>1757.1641933846902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Actividad'!$M181*'FE Sectorial'!I184</f>
        <v>0</v>
      </c>
      <c r="I185" s="92">
        <f>'Datos Actividad'!$M181*'FE Sectorial'!J184</f>
        <v>0</v>
      </c>
      <c r="J185" s="92">
        <f>'Datos Actividad'!$M181*'FE Sectorial'!K184</f>
        <v>0</v>
      </c>
      <c r="K185" s="92">
        <f>'Datos Actividad'!$M181*'FE Sectorial'!L184</f>
        <v>0</v>
      </c>
      <c r="L185" s="92">
        <f>'Datos Actividad'!$M181*'FE Sectorial'!M184</f>
        <v>0</v>
      </c>
      <c r="M185" s="92">
        <f>'Datos Actividad'!$M181*'FE Sectorial'!N184</f>
        <v>10722.83371145837</v>
      </c>
      <c r="N185" s="92">
        <f>'Datos Actividad'!$M181*'FE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Actividad'!$M182*'FE Sectorial'!I185</f>
        <v>1287.7295920144522</v>
      </c>
      <c r="I186" s="92">
        <f>'Datos Actividad'!$M182*'FE Sectorial'!J185</f>
        <v>0</v>
      </c>
      <c r="J186" s="92">
        <f>'Datos Actividad'!$M182*'FE Sectorial'!K185</f>
        <v>0</v>
      </c>
      <c r="K186" s="92">
        <f>'Datos Actividad'!$M182*'FE Sectorial'!L185</f>
        <v>6.5883839591437104E-3</v>
      </c>
      <c r="L186" s="92">
        <f>'Datos Actividad'!$M182*'FE Sectorial'!M185</f>
        <v>0</v>
      </c>
      <c r="M186" s="92">
        <f>'Datos Actividad'!$M182*'FE Sectorial'!N185</f>
        <v>0</v>
      </c>
      <c r="N186" s="92">
        <f>'Datos Actividad'!$M182*'FE Sectorial'!O185</f>
        <v>0</v>
      </c>
      <c r="O186" s="87">
        <f>IF(D186&lt;400,H186+I186*'Factores generales'!$M$41+J186*'Factores generales'!$N$41,I186*'Factores generales'!$M$41+J186*'Factores generales'!$N$41)</f>
        <v>1287.7295920144522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6022.9741229218198</v>
      </c>
      <c r="I188" s="134">
        <f t="shared" ref="I188:O188" si="46">SUM(I189:I203)</f>
        <v>307243.82329155662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28952.368494182825</v>
      </c>
      <c r="N188" s="134">
        <f t="shared" si="46"/>
        <v>0</v>
      </c>
      <c r="O188" s="134">
        <f t="shared" si="46"/>
        <v>6458143.2632456105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Actividad'!$M187*'FE Sectorial'!I190</f>
        <v>2574.1652615983839</v>
      </c>
      <c r="I191" s="92">
        <f>'Datos Actividad'!$M187*'FE Sectorial'!J190</f>
        <v>154857.97430849043</v>
      </c>
      <c r="J191" s="92">
        <f>'Datos Actividad'!$M187*'FE Sectorial'!K190</f>
        <v>0</v>
      </c>
      <c r="K191" s="92">
        <f>'Datos Actividad'!$M187*'FE Sectorial'!L190</f>
        <v>0</v>
      </c>
      <c r="L191" s="92">
        <f>'Datos Actividad'!$M187*'FE Sectorial'!M190</f>
        <v>0</v>
      </c>
      <c r="M191" s="92">
        <f>'Datos Actividad'!$M187*'FE Sectorial'!N190</f>
        <v>16945.230235699404</v>
      </c>
      <c r="N191" s="92">
        <f>'Datos Actividad'!$M187*'FE Sectorial'!O190</f>
        <v>0</v>
      </c>
      <c r="O191" s="87">
        <f>IF(D191&lt;400,H191+I191*'Factores generales'!$M$41+J191*'Factores generales'!$N$41,I191*'Factores generales'!$M$41+J191*'Factores generales'!$N$41)</f>
        <v>3254591.6257398976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Actividad'!$M189*'FE Sectorial'!I192</f>
        <v>939.95225368241461</v>
      </c>
      <c r="I193" s="92">
        <f>'Datos Actividad'!$M189*'FE Sectorial'!J192</f>
        <v>11749.403171030184</v>
      </c>
      <c r="J193" s="92">
        <f>'Datos Actividad'!$M189*'FE Sectorial'!K192</f>
        <v>0</v>
      </c>
      <c r="K193" s="92">
        <f>'Datos Actividad'!$M189*'FE Sectorial'!L192</f>
        <v>0</v>
      </c>
      <c r="L193" s="92">
        <f>'Datos Actividad'!$M189*'FE Sectorial'!M192</f>
        <v>0</v>
      </c>
      <c r="M193" s="92">
        <f>'Datos Actividad'!$M189*'FE Sectorial'!N192</f>
        <v>10853.63373377875</v>
      </c>
      <c r="N193" s="92">
        <f>'Datos Actividad'!$M189*'FE Sectorial'!O192</f>
        <v>0</v>
      </c>
      <c r="O193" s="87">
        <f>IF(D193&lt;400,H193+I193*'Factores generales'!$M$41+J193*'Factores generales'!$N$41,I193*'Factores generales'!$M$41+J193*'Factores generales'!$N$41)</f>
        <v>247677.41884531628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Actividad'!$M192*'FE Sectorial'!I195</f>
        <v>61.608761240895319</v>
      </c>
      <c r="I196" s="92">
        <f>'Datos Actividad'!$M192*'FE Sectorial'!J195</f>
        <v>19169.101320013069</v>
      </c>
      <c r="J196" s="92">
        <f>'Datos Actividad'!$M192*'FE Sectorial'!K195</f>
        <v>0</v>
      </c>
      <c r="K196" s="92">
        <f>'Datos Actividad'!$M192*'FE Sectorial'!L195</f>
        <v>0</v>
      </c>
      <c r="L196" s="92">
        <f>'Datos Actividad'!$M192*'FE Sectorial'!M195</f>
        <v>0</v>
      </c>
      <c r="M196" s="92">
        <f>'Datos Actividad'!$M192*'FE Sectorial'!N195</f>
        <v>458.41604470467581</v>
      </c>
      <c r="N196" s="92">
        <f>'Datos Actividad'!$M192*'FE Sectorial'!O195</f>
        <v>0</v>
      </c>
      <c r="O196" s="87">
        <f>IF(D196&lt;400,H196+I196*'Factores generales'!$M$41+J196*'Factores generales'!$N$41,I196*'Factores generales'!$M$41+J196*'Factores generales'!$N$41)</f>
        <v>402612.73648151534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Actividad'!$M194*'FE Sectorial'!I197</f>
        <v>2447.2478464001265</v>
      </c>
      <c r="I198" s="92">
        <f>'Datos Actividad'!$M194*'FE Sectorial'!J197</f>
        <v>48028.076755384456</v>
      </c>
      <c r="J198" s="92">
        <f>'Datos Actividad'!$M194*'FE Sectorial'!K197</f>
        <v>0</v>
      </c>
      <c r="K198" s="92">
        <f>'Datos Actividad'!$M194*'FE Sectorial'!L197</f>
        <v>0</v>
      </c>
      <c r="L198" s="92">
        <f>'Datos Actividad'!$M194*'FE Sectorial'!M197</f>
        <v>0</v>
      </c>
      <c r="M198" s="92">
        <f>'Datos Actividad'!$M194*'FE Sectorial'!N197</f>
        <v>695.08848000000012</v>
      </c>
      <c r="N198" s="92">
        <f>'Datos Actividad'!$M194*'FE Sectorial'!O197</f>
        <v>0</v>
      </c>
      <c r="O198" s="87">
        <f>IF(D198&lt;400,H198+I198*'Factores generales'!$M$41+J198*'Factores generales'!$N$41,I198*'Factores generales'!$M$41+J198*'Factores generales'!$N$41)</f>
        <v>1011036.8597094737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Actividad'!$M197*'FE Sectorial'!I200</f>
        <v>0</v>
      </c>
      <c r="I201" s="92">
        <f>'Datos Actividad'!$M197*'FE Sectorial'!J200</f>
        <v>59297.297506814451</v>
      </c>
      <c r="J201" s="92">
        <f>'Datos Actividad'!$M197*'FE Sectorial'!K200</f>
        <v>0</v>
      </c>
      <c r="K201" s="92">
        <f>'Datos Actividad'!$M197*'FE Sectorial'!L200</f>
        <v>0</v>
      </c>
      <c r="L201" s="92">
        <f>'Datos Actividad'!$M197*'FE Sectorial'!M200</f>
        <v>0</v>
      </c>
      <c r="M201" s="92">
        <f>'Datos Actividad'!$M197*'FE Sectorial'!N200</f>
        <v>0</v>
      </c>
      <c r="N201" s="92">
        <f>'Datos Actividad'!$M197*'FE Sectorial'!O200</f>
        <v>0</v>
      </c>
      <c r="O201" s="87">
        <f>IF(D201&lt;400,H201+I201*'Factores generales'!$M$41+J201*'Factores generales'!$N$41,I201*'Factores generales'!$M$41+J201*'Factores generales'!$N$41)</f>
        <v>1245243.2476431036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Actividad'!$M199*'FE Sectorial'!I202</f>
        <v>0</v>
      </c>
      <c r="I203" s="92">
        <f>'Datos Actividad'!$M199*'FE Sectorial'!J202</f>
        <v>14141.970229823999</v>
      </c>
      <c r="J203" s="92">
        <f>'Datos Actividad'!$M199*'FE Sectorial'!K202</f>
        <v>0</v>
      </c>
      <c r="K203" s="92">
        <f>'Datos Actividad'!$M199*'FE Sectorial'!L202</f>
        <v>0</v>
      </c>
      <c r="L203" s="92">
        <f>'Datos Actividad'!$M199*'FE Sectorial'!M202</f>
        <v>0</v>
      </c>
      <c r="M203" s="92">
        <f>'Datos Actividad'!$M199*'FE Sectorial'!N202</f>
        <v>0</v>
      </c>
      <c r="N203" s="92">
        <f>'Datos Actividad'!$M199*'FE Sectorial'!O202</f>
        <v>0</v>
      </c>
      <c r="O203" s="87">
        <f>IF(D203&lt;400,H203+I203*'Factores generales'!$M$41+J203*'Factores generales'!$N$41,I203*'Factores generales'!$M$41+J203*'Factores generales'!$N$41)</f>
        <v>296981.37482630397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5264663.5584922824</v>
      </c>
      <c r="I204" s="134">
        <f t="shared" ref="I204:O204" si="47">SUM(I205:I221)</f>
        <v>41288.649474660728</v>
      </c>
      <c r="J204" s="134">
        <f t="shared" si="47"/>
        <v>32.188849864786569</v>
      </c>
      <c r="K204" s="134">
        <f t="shared" si="47"/>
        <v>0</v>
      </c>
      <c r="L204" s="134">
        <f t="shared" si="47"/>
        <v>0</v>
      </c>
      <c r="M204" s="134">
        <f t="shared" si="47"/>
        <v>20806.738735302413</v>
      </c>
      <c r="N204" s="134">
        <f t="shared" si="47"/>
        <v>0</v>
      </c>
      <c r="O204" s="134">
        <f t="shared" si="47"/>
        <v>6141703.7409182414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Actividad'!$M203*'FE Sectorial'!I206</f>
        <v>4286.5794242430275</v>
      </c>
      <c r="I207" s="92">
        <f>'Datos Actividad'!$M203*'FE Sectorial'!J206</f>
        <v>32565.76178353489</v>
      </c>
      <c r="J207" s="92">
        <f>'Datos Actividad'!$M203*'FE Sectorial'!K206</f>
        <v>0</v>
      </c>
      <c r="K207" s="92">
        <f>'Datos Actividad'!$M203*'FE Sectorial'!L206</f>
        <v>0</v>
      </c>
      <c r="L207" s="92">
        <f>'Datos Actividad'!$M203*'FE Sectorial'!M206</f>
        <v>0</v>
      </c>
      <c r="M207" s="92">
        <f>'Datos Actividad'!$M203*'FE Sectorial'!N206</f>
        <v>19428.426549794101</v>
      </c>
      <c r="N207" s="92">
        <f>'Datos Actividad'!$M203*'FE Sectorial'!O206</f>
        <v>0</v>
      </c>
      <c r="O207" s="87">
        <f>IF(D207&lt;400,H207+I207*'Factores generales'!$M$41+J207*'Factores generales'!$N$41,I207*'Factores generales'!$M$41+J207*'Factores generales'!$N$41)</f>
        <v>688167.57687847572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Actividad'!$M205*'FE Sectorial'!I208</f>
        <v>1848261.1637003145</v>
      </c>
      <c r="I209" s="92">
        <f>'Datos Actividad'!$M205*'FE Sectorial'!J208</f>
        <v>1124.5709460301887</v>
      </c>
      <c r="J209" s="92">
        <f>'Datos Actividad'!$M205*'FE Sectorial'!K208</f>
        <v>28.94734380758657</v>
      </c>
      <c r="K209" s="92">
        <f>'Datos Actividad'!$M205*'FE Sectorial'!L208</f>
        <v>0</v>
      </c>
      <c r="L209" s="92">
        <f>'Datos Actividad'!$M205*'FE Sectorial'!M208</f>
        <v>0</v>
      </c>
      <c r="M209" s="92">
        <f>'Datos Actividad'!$M205*'FE Sectorial'!N208</f>
        <v>951.88841777312962</v>
      </c>
      <c r="N209" s="92">
        <f>'Datos Actividad'!$M205*'FE Sectorial'!O208</f>
        <v>0</v>
      </c>
      <c r="O209" s="87">
        <f>IF(D209&lt;400,H209+I209*'Factores generales'!$M$41+J209*'Factores generales'!$N$41,I209*'Factores generales'!$M$41+J209*'Factores generales'!$N$41)</f>
        <v>1880850.8301473001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Actividad'!$M209*'FE Sectorial'!I212</f>
        <v>3161025.1638069018</v>
      </c>
      <c r="I213" s="92">
        <f>'Datos Actividad'!$M209*'FE Sectorial'!J212</f>
        <v>0</v>
      </c>
      <c r="J213" s="92">
        <f>'Datos Actividad'!$M209*'FE Sectorial'!K212</f>
        <v>0</v>
      </c>
      <c r="K213" s="92">
        <f>'Datos Actividad'!$M209*'FE Sectorial'!L212</f>
        <v>0</v>
      </c>
      <c r="L213" s="92">
        <f>'Datos Actividad'!$M209*'FE Sectorial'!M212</f>
        <v>0</v>
      </c>
      <c r="M213" s="92">
        <f>'Datos Actividad'!$M209*'FE Sectorial'!N212</f>
        <v>0</v>
      </c>
      <c r="N213" s="92">
        <f>'Datos Actividad'!$M209*'FE Sectorial'!O212</f>
        <v>0</v>
      </c>
      <c r="O213" s="87">
        <f>IF(D213&lt;400,H213+I213*'Factores generales'!$M$41+J213*'Factores generales'!$N$41,I213*'Factores generales'!$M$41+J213*'Factores generales'!$N$41)</f>
        <v>3161025.1638069018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Actividad'!$M211*'FE Sectorial'!I214</f>
        <v>195.93919113403163</v>
      </c>
      <c r="I215" s="92">
        <f>'Datos Actividad'!$M211*'FE Sectorial'!J214</f>
        <v>7432.2657843609923</v>
      </c>
      <c r="J215" s="92">
        <f>'Datos Actividad'!$M211*'FE Sectorial'!K214</f>
        <v>0</v>
      </c>
      <c r="K215" s="92">
        <f>'Datos Actividad'!$M211*'FE Sectorial'!L214</f>
        <v>0</v>
      </c>
      <c r="L215" s="92">
        <f>'Datos Actividad'!$M211*'FE Sectorial'!M214</f>
        <v>0</v>
      </c>
      <c r="M215" s="92">
        <f>'Datos Actividad'!$M211*'FE Sectorial'!N214</f>
        <v>292.99100828558454</v>
      </c>
      <c r="N215" s="92">
        <f>'Datos Actividad'!$M211*'FE Sectorial'!O214</f>
        <v>0</v>
      </c>
      <c r="O215" s="87">
        <f>IF(D215&lt;400,H215+I215*'Factores generales'!$M$41+J215*'Factores generales'!$N$41,I215*'Factores generales'!$M$41+J215*'Factores generales'!$N$41)</f>
        <v>156273.52066271487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Actividad'!$M214*'FE Sectorial'!I217</f>
        <v>71053.711643381859</v>
      </c>
      <c r="I218" s="92">
        <f>'Datos Actividad'!$M214*'FE Sectorial'!J217</f>
        <v>44.703646576583552</v>
      </c>
      <c r="J218" s="92">
        <f>'Datos Actividad'!$M214*'FE Sectorial'!K217</f>
        <v>1.265449449229326</v>
      </c>
      <c r="K218" s="92">
        <f>'Datos Actividad'!$M214*'FE Sectorial'!L217</f>
        <v>0</v>
      </c>
      <c r="L218" s="92">
        <f>'Datos Actividad'!$M214*'FE Sectorial'!M217</f>
        <v>0</v>
      </c>
      <c r="M218" s="92">
        <f>'Datos Actividad'!$M214*'FE Sectorial'!N217</f>
        <v>37.225579085800732</v>
      </c>
      <c r="N218" s="92">
        <f>'Datos Actividad'!$M214*'FE Sectorial'!O217</f>
        <v>0</v>
      </c>
      <c r="O218" s="87">
        <f>IF(D218&lt;400,H218+I218*'Factores generales'!$M$41+J218*'Factores generales'!$N$41,I218*'Factores generales'!$M$41+J218*'Factores generales'!$N$41)</f>
        <v>72384.777550751212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Actividad'!$M216*'FE Sectorial'!I219</f>
        <v>179841.00072630792</v>
      </c>
      <c r="I220" s="92">
        <f>'Datos Actividad'!$M216*'FE Sectorial'!J219</f>
        <v>121.34731415807069</v>
      </c>
      <c r="J220" s="92">
        <f>'Datos Actividad'!$M216*'FE Sectorial'!K219</f>
        <v>1.9760566079706752</v>
      </c>
      <c r="K220" s="92">
        <f>'Datos Actividad'!$M216*'FE Sectorial'!L219</f>
        <v>0</v>
      </c>
      <c r="L220" s="92">
        <f>'Datos Actividad'!$M216*'FE Sectorial'!M219</f>
        <v>0</v>
      </c>
      <c r="M220" s="92">
        <f>'Datos Actividad'!$M216*'FE Sectorial'!N219</f>
        <v>96.207180363793924</v>
      </c>
      <c r="N220" s="92">
        <f>'Datos Actividad'!$M216*'FE Sectorial'!O219</f>
        <v>0</v>
      </c>
      <c r="O220" s="87">
        <f>IF(D220&lt;400,H220+I220*'Factores generales'!$M$41+J220*'Factores generales'!$N$41,I220*'Factores generales'!$M$41+J220*'Factores generales'!$N$41)</f>
        <v>183001.8718720983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10557232.315143114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4328147.3383886125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2164824.8498693854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2163322.4885192276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140348221.49843493</v>
      </c>
      <c r="I5" s="138">
        <f t="shared" si="0"/>
        <v>385927.60854720743</v>
      </c>
      <c r="J5" s="138">
        <f t="shared" si="0"/>
        <v>3392.6498967169432</v>
      </c>
      <c r="K5" s="138">
        <f t="shared" si="0"/>
        <v>829806.89581744804</v>
      </c>
      <c r="L5" s="138">
        <f t="shared" si="0"/>
        <v>2108839.9388693967</v>
      </c>
      <c r="M5" s="138">
        <f t="shared" si="0"/>
        <v>440550.77197863144</v>
      </c>
      <c r="N5" s="138">
        <f t="shared" si="0"/>
        <v>74690.019893214776</v>
      </c>
      <c r="O5" s="138">
        <f t="shared" si="0"/>
        <v>149504422.74590856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134888496.94892436</v>
      </c>
      <c r="I6" s="124">
        <f t="shared" si="1"/>
        <v>21363.183187615865</v>
      </c>
      <c r="J6" s="124">
        <f t="shared" si="1"/>
        <v>3358.7243083178773</v>
      </c>
      <c r="K6" s="124">
        <f t="shared" si="1"/>
        <v>828247.57024322695</v>
      </c>
      <c r="L6" s="124">
        <f t="shared" si="1"/>
        <v>2106345.0316268369</v>
      </c>
      <c r="M6" s="124">
        <f t="shared" si="1"/>
        <v>321899.23635205172</v>
      </c>
      <c r="N6" s="124">
        <f t="shared" si="1"/>
        <v>49740.94746761478</v>
      </c>
      <c r="O6" s="124">
        <f t="shared" si="1"/>
        <v>136378328.33144286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36913820.848366655</v>
      </c>
      <c r="I7" s="129">
        <f t="shared" si="2"/>
        <v>738.6854948927446</v>
      </c>
      <c r="J7" s="129">
        <f t="shared" si="2"/>
        <v>108.2712156271642</v>
      </c>
      <c r="K7" s="129">
        <f t="shared" si="2"/>
        <v>99478.476497308671</v>
      </c>
      <c r="L7" s="129">
        <f t="shared" si="2"/>
        <v>12379.654445103641</v>
      </c>
      <c r="M7" s="129">
        <f t="shared" si="2"/>
        <v>3161.4151516301117</v>
      </c>
      <c r="N7" s="129">
        <f t="shared" si="2"/>
        <v>19205.267832444541</v>
      </c>
      <c r="O7" s="129">
        <f t="shared" si="2"/>
        <v>36962897.320603825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24835634.234780423</v>
      </c>
      <c r="I8" s="134">
        <f t="shared" si="3"/>
        <v>502.31862823199998</v>
      </c>
      <c r="J8" s="134">
        <f t="shared" si="3"/>
        <v>74.806356643200019</v>
      </c>
      <c r="K8" s="134">
        <f t="shared" si="3"/>
        <v>67027.795604799991</v>
      </c>
      <c r="L8" s="134">
        <f t="shared" si="3"/>
        <v>8299.4415596399995</v>
      </c>
      <c r="M8" s="134">
        <f t="shared" si="3"/>
        <v>2123.38625116</v>
      </c>
      <c r="N8" s="134">
        <f t="shared" si="3"/>
        <v>15636.571440000002</v>
      </c>
      <c r="O8" s="134">
        <f t="shared" si="3"/>
        <v>24869372.896532688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24835634.234780423</v>
      </c>
      <c r="I9" s="93">
        <f t="shared" ref="I9:O9" si="4">I10+I11+I12+I13+I14</f>
        <v>502.31862823199998</v>
      </c>
      <c r="J9" s="93">
        <f t="shared" si="4"/>
        <v>74.806356643200019</v>
      </c>
      <c r="K9" s="93">
        <f t="shared" si="4"/>
        <v>67027.795604799991</v>
      </c>
      <c r="L9" s="93">
        <f t="shared" si="4"/>
        <v>8299.4415596399995</v>
      </c>
      <c r="M9" s="93">
        <f t="shared" si="4"/>
        <v>2123.38625116</v>
      </c>
      <c r="N9" s="93">
        <f t="shared" si="4"/>
        <v>15636.571440000002</v>
      </c>
      <c r="O9" s="93">
        <f t="shared" si="4"/>
        <v>24869372.896532688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Actividad'!$N6*'FE Sectorial'!$H9*'FE Sectorial'!I9*'FE Sectorial'!$P9/1000</f>
        <v>856111.17308640003</v>
      </c>
      <c r="I10" s="92">
        <f>'Datos Actividad'!$N6*'FE Sectorial'!$H9*'FE Sectorial'!J9/1000/1000</f>
        <v>9.2344908000000014</v>
      </c>
      <c r="J10" s="92">
        <f>'Datos Actividad'!$N6*'FE Sectorial'!$H9*'FE Sectorial'!K9/1000/1000</f>
        <v>13.851736200000003</v>
      </c>
      <c r="K10" s="92">
        <f>'Datos Actividad'!$N6*'FE Sectorial'!$H9*'FE Sectorial'!L9/1000/1000</f>
        <v>2770.3472400000001</v>
      </c>
      <c r="L10" s="92">
        <f>'Datos Actividad'!$N6*'FE Sectorial'!$H9*'FE Sectorial'!M9/1000/1000</f>
        <v>184.68981599999998</v>
      </c>
      <c r="M10" s="92">
        <f>'Datos Actividad'!$N6*'FE Sectorial'!$H9*'FE Sectorial'!N9/1000/1000</f>
        <v>46.172453999999995</v>
      </c>
      <c r="N10" s="92">
        <f>'Datos Actividad'!$N6*'FE Sectorial'!$H9*'FE Sectorial'!O9/1000/1000</f>
        <v>8840.7722000000012</v>
      </c>
      <c r="O10" s="92">
        <f>IF(D10&lt;400,H10+I10*'Factores generales'!$M$41+J10*'Factores generales'!$N$41,I10*'Factores generales'!$M$41+J10*'Factores generales'!$N$41)</f>
        <v>860599.13561520004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Actividad'!$N7*'FE Sectorial'!$H10*'FE Sectorial'!I10*'FE Sectorial'!$P10/1000</f>
        <v>404332.58022299997</v>
      </c>
      <c r="I11" s="17">
        <f>'Datos Actividad'!$N7*'FE Sectorial'!$H10*'FE Sectorial'!J10/1000/1000</f>
        <v>16.535091000000001</v>
      </c>
      <c r="J11" s="17">
        <f>'Datos Actividad'!$N7*'FE Sectorial'!$H10*'FE Sectorial'!K10/1000/1000</f>
        <v>3.3070181999999995</v>
      </c>
      <c r="K11" s="17">
        <f>'Datos Actividad'!$N7*'FE Sectorial'!$H10*'FE Sectorial'!L10/1000/1000</f>
        <v>1102.3393999999998</v>
      </c>
      <c r="L11" s="17">
        <f>'Datos Actividad'!$N7*'FE Sectorial'!$H10*'FE Sectorial'!M10/1000/1000</f>
        <v>82.675454999999999</v>
      </c>
      <c r="M11" s="17">
        <f>'Datos Actividad'!$N7*'FE Sectorial'!$H10*'FE Sectorial'!N10/1000/1000</f>
        <v>27.558485000000001</v>
      </c>
      <c r="N11" s="17">
        <f>'Datos Actividad'!$N7*'FE Sectorial'!$H10*'FE Sectorial'!O10/1000/1000</f>
        <v>199.95923999999999</v>
      </c>
      <c r="O11" s="17">
        <f>IF(D11&lt;400,H11+I11*'Factores generales'!$M$41+J11*'Factores generales'!$N$41,I11*'Factores generales'!$M$41+J11*'Factores generales'!$N$41)</f>
        <v>405704.99277599994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Actividad'!$N8*'FE Sectorial'!$H11*'FE Sectorial'!I11*'FE Sectorial'!$P11/1000</f>
        <v>2552334.8209919999</v>
      </c>
      <c r="I12" s="92">
        <f>'Datos Actividad'!$N8*'FE Sectorial'!$H11*'FE Sectorial'!J11/1000/1000</f>
        <v>99.926975999999996</v>
      </c>
      <c r="J12" s="92">
        <f>'Datos Actividad'!$N8*'FE Sectorial'!$H11*'FE Sectorial'!K11/1000/1000</f>
        <v>19.985395199999999</v>
      </c>
      <c r="K12" s="92">
        <f>'Datos Actividad'!$N8*'FE Sectorial'!$H11*'FE Sectorial'!L11/1000/1000</f>
        <v>6661.7984000000006</v>
      </c>
      <c r="L12" s="92">
        <f>'Datos Actividad'!$N8*'FE Sectorial'!$H11*'FE Sectorial'!M11/1000/1000</f>
        <v>499.63488000000001</v>
      </c>
      <c r="M12" s="92">
        <f>'Datos Actividad'!$N8*'FE Sectorial'!$H11*'FE Sectorial'!N11/1000/1000</f>
        <v>166.54496</v>
      </c>
      <c r="N12" s="92">
        <f>'Datos Actividad'!$N8*'FE Sectorial'!$H11*'FE Sectorial'!O11/1000/1000</f>
        <v>6595.84</v>
      </c>
      <c r="O12" s="92">
        <f>IF(D12&lt;400,H12+I12*'Factores generales'!$M$41+J12*'Factores generales'!$N$41,I12*'Factores generales'!$M$41+J12*'Factores generales'!$N$41)</f>
        <v>2560628.7599999998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Actividad'!$N9*'FE Sectorial'!$H12*'FE Sectorial'!I12*'FE Sectorial'!$P12/1000</f>
        <v>21022855.660479024</v>
      </c>
      <c r="I13" s="17">
        <f>'Datos Actividad'!$N9*'FE Sectorial'!$H12*'FE Sectorial'!J12/1000/1000</f>
        <v>376.62207043199999</v>
      </c>
      <c r="J13" s="17">
        <f>'Datos Actividad'!$N9*'FE Sectorial'!$H12*'FE Sectorial'!K12/1000/1000</f>
        <v>37.662207043200006</v>
      </c>
      <c r="K13" s="17">
        <f>'Datos Actividad'!$N9*'FE Sectorial'!$H12*'FE Sectorial'!L12/1000/1000</f>
        <v>56493.310564799991</v>
      </c>
      <c r="L13" s="17">
        <f>'Datos Actividad'!$N9*'FE Sectorial'!$H12*'FE Sectorial'!M12/1000/1000</f>
        <v>7532.4414086399993</v>
      </c>
      <c r="M13" s="17">
        <f>'Datos Actividad'!$N9*'FE Sectorial'!$H12*'FE Sectorial'!N12/1000/1000</f>
        <v>1883.1103521599998</v>
      </c>
      <c r="N13" s="17">
        <f>'Datos Actividad'!$N9*'FE Sectorial'!$H12*'FE Sectorial'!O12/1000/1000</f>
        <v>0</v>
      </c>
      <c r="O13" s="17">
        <f>IF(D13&lt;400,H13+I13*'Factores generales'!$M$41+J13*'Factores generales'!$N$41,I13*'Factores generales'!$M$41+J13*'Factores generales'!$N$41)</f>
        <v>21042440.008141488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Actividad'!$N10*'FE Sectorial'!$H13*'FE Sectorial'!I13*'FE Sectorial'!$P13/1000</f>
        <v>0</v>
      </c>
      <c r="I14" s="147">
        <f>'Datos Actividad'!$N10*'FE Sectorial'!$H13*'FE Sectorial'!J13/1000/1000</f>
        <v>0</v>
      </c>
      <c r="J14" s="147">
        <f>'Datos Actividad'!$N10*'FE Sectorial'!$H13*'FE Sectorial'!K13/1000/1000</f>
        <v>0</v>
      </c>
      <c r="K14" s="147">
        <f>'Datos Actividad'!$N10*'FE Sectorial'!$H13*'FE Sectorial'!L13/1000/1000</f>
        <v>0</v>
      </c>
      <c r="L14" s="147">
        <f>'Datos Actividad'!$N10*'FE Sectorial'!$H13*'FE Sectorial'!M13/1000/1000</f>
        <v>0</v>
      </c>
      <c r="M14" s="147">
        <f>'Datos Actividad'!$N10*'FE Sectorial'!$H13*'FE Sectorial'!N13/1000/1000</f>
        <v>0</v>
      </c>
      <c r="N14" s="147">
        <f>'Datos Actividad'!$N10*'FE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3832672.5511088306</v>
      </c>
      <c r="I17" s="134">
        <f t="shared" ref="I17:O17" si="5">SUM(I18:I25)</f>
        <v>88.479254565829393</v>
      </c>
      <c r="J17" s="134">
        <f t="shared" si="5"/>
        <v>17.381111841591288</v>
      </c>
      <c r="K17" s="134">
        <f t="shared" si="5"/>
        <v>10248.701864034119</v>
      </c>
      <c r="L17" s="134">
        <f t="shared" si="5"/>
        <v>1141.5857335653357</v>
      </c>
      <c r="M17" s="134">
        <f t="shared" si="5"/>
        <v>302.84085999553537</v>
      </c>
      <c r="N17" s="134">
        <f t="shared" si="5"/>
        <v>2559.1911049869091</v>
      </c>
      <c r="O17" s="134">
        <f t="shared" si="5"/>
        <v>3839918.7601256063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Actividad'!$N14*'FE Sectorial'!$H17*'FE Sectorial'!I17*'FE Sectorial'!P17/1000</f>
        <v>842375.54870568053</v>
      </c>
      <c r="I18" s="17">
        <f>'Datos Actividad'!$N14*'FE Sectorial'!$H17*'FE Sectorial'!J17/1000/1000</f>
        <v>15.091062240000008</v>
      </c>
      <c r="J18" s="17">
        <f>'Datos Actividad'!$N14*'FE Sectorial'!$H17*'FE Sectorial'!K17/1000/1000</f>
        <v>1.5091062240000008</v>
      </c>
      <c r="K18" s="17">
        <f>'Datos Actividad'!$N14*'FE Sectorial'!$H17*'FE Sectorial'!L17/1000/1000</f>
        <v>2263.6593360000011</v>
      </c>
      <c r="L18" s="17">
        <f>'Datos Actividad'!$N14*'FE Sectorial'!$H17*'FE Sectorial'!M17/1000/1000</f>
        <v>301.8212448000001</v>
      </c>
      <c r="M18" s="17">
        <f>'Datos Actividad'!$N14*'FE Sectorial'!$H17*'FE Sectorial'!N17/1000/1000</f>
        <v>75.455311200000025</v>
      </c>
      <c r="N18" s="17">
        <f>'Datos Actividad'!$N14*'FE Sectorial'!$H17*'FE Sectorial'!O17/1000/1000</f>
        <v>0</v>
      </c>
      <c r="O18" s="87">
        <f>IF(D18&lt;400,H18+I18*'Factores generales'!$M$41+J18*'Factores generales'!$N$41,I18*'Factores generales'!$M$41+J18*'Factores generales'!$N$41)</f>
        <v>843160.28394216043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Actividad'!$N15*'FE Sectorial'!$H18*'FE Sectorial'!I18*'FE Sectorial'!P18/1000</f>
        <v>5375.5475879178075</v>
      </c>
      <c r="I19" s="17">
        <f>'Datos Actividad'!$N15*'FE Sectorial'!$H18*'FE Sectorial'!J18/1000/1000</f>
        <v>8.6051442922374419E-2</v>
      </c>
      <c r="J19" s="17">
        <f>'Datos Actividad'!$N15*'FE Sectorial'!$H18*'FE Sectorial'!K18/1000/1000</f>
        <v>8.6051442922374429E-3</v>
      </c>
      <c r="K19" s="17">
        <f>'Datos Actividad'!$N15*'FE Sectorial'!$H18*'FE Sectorial'!L18/1000/1000</f>
        <v>12.907716438356163</v>
      </c>
      <c r="L19" s="17">
        <f>'Datos Actividad'!$N15*'FE Sectorial'!$H18*'FE Sectorial'!M18/1000/1000</f>
        <v>1.7210288584474884</v>
      </c>
      <c r="M19" s="17">
        <f>'Datos Actividad'!$N15*'FE Sectorial'!$H18*'FE Sectorial'!N18/1000/1000</f>
        <v>0.43025721461187211</v>
      </c>
      <c r="N19" s="17">
        <f>'Datos Actividad'!$N15*'FE Sectorial'!$H18*'FE Sectorial'!O18/1000/1000</f>
        <v>0.36385388127853885</v>
      </c>
      <c r="O19" s="87">
        <f>IF(D19&lt;400,H19+I19*'Factores generales'!$M$41+J19*'Factores generales'!$N$41,I19*'Factores generales'!$M$41+J19*'Factores generales'!$N$41)</f>
        <v>5380.0222629497712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Actividad'!$N16*'FE Sectorial'!$H19*'FE Sectorial'!I19*'FE Sectorial'!P19/1000</f>
        <v>1623698.0782651822</v>
      </c>
      <c r="I20" s="17">
        <f>'Datos Actividad'!$N16*'FE Sectorial'!$H19*'FE Sectorial'!J19/1000/1000</f>
        <v>28.330857032823534</v>
      </c>
      <c r="J20" s="17">
        <f>'Datos Actividad'!$N16*'FE Sectorial'!$H19*'FE Sectorial'!K19/1000/1000</f>
        <v>2.8330857032823533</v>
      </c>
      <c r="K20" s="17">
        <f>'Datos Actividad'!$N16*'FE Sectorial'!$H19*'FE Sectorial'!L19/1000/1000</f>
        <v>4249.6285549235299</v>
      </c>
      <c r="L20" s="17">
        <f>'Datos Actividad'!$N16*'FE Sectorial'!$H19*'FE Sectorial'!M19/1000/1000</f>
        <v>566.61714065647072</v>
      </c>
      <c r="M20" s="17">
        <f>'Datos Actividad'!$N16*'FE Sectorial'!$H19*'FE Sectorial'!N19/1000/1000</f>
        <v>141.65428516411768</v>
      </c>
      <c r="N20" s="17">
        <f>'Datos Actividad'!$N16*'FE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1625171.2828308889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Actividad'!$N17*'FE Sectorial'!$H20*'FE Sectorial'!I20*'FE Sectorial'!P20/1000</f>
        <v>6061.3951456310679</v>
      </c>
      <c r="I21" s="17">
        <f>'Datos Actividad'!$N17*'FE Sectorial'!$H20*'FE Sectorial'!J20/1000/1000</f>
        <v>0.25689320388349512</v>
      </c>
      <c r="J21" s="17">
        <f>'Datos Actividad'!$N17*'FE Sectorial'!$H20*'FE Sectorial'!K20/1000/1000</f>
        <v>5.1378640776699021E-2</v>
      </c>
      <c r="K21" s="17">
        <f>'Datos Actividad'!$N17*'FE Sectorial'!$H20*'FE Sectorial'!L20/1000/1000</f>
        <v>17.126213592233007</v>
      </c>
      <c r="L21" s="17">
        <f>'Datos Actividad'!$N17*'FE Sectorial'!$H20*'FE Sectorial'!M20/1000/1000</f>
        <v>1.2844660194174757</v>
      </c>
      <c r="M21" s="17">
        <f>'Datos Actividad'!$N17*'FE Sectorial'!$H20*'FE Sectorial'!N20/1000/1000</f>
        <v>0.42815533980582515</v>
      </c>
      <c r="N21" s="17">
        <f>'Datos Actividad'!$N17*'FE Sectorial'!$H20*'FE Sectorial'!O20/1000/1000</f>
        <v>3.8834951456310671</v>
      </c>
      <c r="O21" s="87">
        <f>IF(D21&lt;400,H21+I21*'Factores generales'!$M$41+J21*'Factores generales'!$N$41,I21*'Factores generales'!$M$41+J21*'Factores generales'!$N$41)</f>
        <v>6082.7172815533977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Actividad'!$N18*'FE Sectorial'!$H21*'FE Sectorial'!I21*'FE Sectorial'!P21/1000</f>
        <v>6917.4242675999985</v>
      </c>
      <c r="I22" s="17">
        <f>'Datos Actividad'!$N18*'FE Sectorial'!$H21*'FE Sectorial'!J21/1000/1000</f>
        <v>0.30248039999999998</v>
      </c>
      <c r="J22" s="17">
        <f>'Datos Actividad'!$N18*'FE Sectorial'!$H21*'FE Sectorial'!K21/1000/1000</f>
        <v>6.0496079999999987E-2</v>
      </c>
      <c r="K22" s="17">
        <f>'Datos Actividad'!$N18*'FE Sectorial'!$H21*'FE Sectorial'!L21/1000/1000</f>
        <v>20.165359999999996</v>
      </c>
      <c r="L22" s="17">
        <f>'Datos Actividad'!$N18*'FE Sectorial'!$H21*'FE Sectorial'!M21/1000/1000</f>
        <v>1.5124019999999998</v>
      </c>
      <c r="M22" s="17">
        <f>'Datos Actividad'!$N18*'FE Sectorial'!$H21*'FE Sectorial'!N21/1000/1000</f>
        <v>0.50413399999999997</v>
      </c>
      <c r="N22" s="17">
        <f>'Datos Actividad'!$N18*'FE Sectorial'!$H21*'FE Sectorial'!O21/1000/1000</f>
        <v>0.45519999999999999</v>
      </c>
      <c r="O22" s="87">
        <f>IF(D22&lt;400,H22+I22*'Factores generales'!$M$41+J22*'Factores generales'!$N$41,I22*'Factores generales'!$M$41+J22*'Factores generales'!$N$41)</f>
        <v>6942.5301407999987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Actividad'!$N19*'FE Sectorial'!$H22*'FE Sectorial'!I22*'FE Sectorial'!P22/1000</f>
        <v>78040.585268216993</v>
      </c>
      <c r="I23" s="17">
        <f>'Datos Actividad'!$N19*'FE Sectorial'!$H22*'FE Sectorial'!J22/1000/1000</f>
        <v>3.1914523890000002</v>
      </c>
      <c r="J23" s="17">
        <f>'Datos Actividad'!$N19*'FE Sectorial'!$H22*'FE Sectorial'!K22/1000/1000</f>
        <v>0.63829047779999992</v>
      </c>
      <c r="K23" s="17">
        <f>'Datos Actividad'!$N19*'FE Sectorial'!$H22*'FE Sectorial'!L22/1000/1000</f>
        <v>212.76349260000001</v>
      </c>
      <c r="L23" s="17">
        <f>'Datos Actividad'!$N19*'FE Sectorial'!$H22*'FE Sectorial'!M22/1000/1000</f>
        <v>15.957261945000001</v>
      </c>
      <c r="M23" s="17">
        <f>'Datos Actividad'!$N19*'FE Sectorial'!$H22*'FE Sectorial'!N22/1000/1000</f>
        <v>5.319087315</v>
      </c>
      <c r="N23" s="17">
        <f>'Datos Actividad'!$N19*'FE Sectorial'!$H22*'FE Sectorial'!O22/1000/1000</f>
        <v>38.594307959999995</v>
      </c>
      <c r="O23" s="87">
        <f>IF(D23&lt;400,H23+I23*'Factores generales'!$M$41+J23*'Factores generales'!$N$41,I23*'Factores generales'!$M$41+J23*'Factores generales'!$N$41)</f>
        <v>78305.475816503997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Actividad'!$N20*'FE Sectorial'!$H23*'FE Sectorial'!I23*'FE Sectorial'!P23/1000</f>
        <v>973553.70886860229</v>
      </c>
      <c r="I24" s="17">
        <f>'Datos Actividad'!$N20*'FE Sectorial'!$H23*'FE Sectorial'!J23/1000/1000</f>
        <v>38.115797857199993</v>
      </c>
      <c r="J24" s="17">
        <f>'Datos Actividad'!$N20*'FE Sectorial'!$H23*'FE Sectorial'!K23/1000/1000</f>
        <v>7.6231595714399978</v>
      </c>
      <c r="K24" s="17">
        <f>'Datos Actividad'!$N20*'FE Sectorial'!$H23*'FE Sectorial'!L23/1000/1000</f>
        <v>2541.0531904799996</v>
      </c>
      <c r="L24" s="17">
        <f>'Datos Actividad'!$N20*'FE Sectorial'!$H23*'FE Sectorial'!M23/1000/1000</f>
        <v>190.57898928599997</v>
      </c>
      <c r="M24" s="17">
        <f>'Datos Actividad'!$N20*'FE Sectorial'!$H23*'FE Sectorial'!N23/1000/1000</f>
        <v>63.526329761999989</v>
      </c>
      <c r="N24" s="17">
        <f>'Datos Actividad'!$N20*'FE Sectorial'!$H23*'FE Sectorial'!O23/1000/1000</f>
        <v>2515.8942479999996</v>
      </c>
      <c r="O24" s="87">
        <f>IF(D24&lt;400,H24+I24*'Factores generales'!$M$41+J24*'Factores generales'!$N$41,I24*'Factores generales'!$M$41+J24*'Factores generales'!$N$41)</f>
        <v>976717.32009074988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Actividad'!$N21*'FE Sectorial'!$H24*'FE Sectorial'!I24*'FE Sectorial'!P24/1000</f>
        <v>296650.26299999998</v>
      </c>
      <c r="I25" s="17">
        <f>'Datos Actividad'!$N21*'FE Sectorial'!$H24*'FE Sectorial'!J24/1000/1000</f>
        <v>3.10466</v>
      </c>
      <c r="J25" s="17">
        <f>'Datos Actividad'!$N21*'FE Sectorial'!$H24*'FE Sectorial'!K24/1000/1000</f>
        <v>4.6569900000000004</v>
      </c>
      <c r="K25" s="17">
        <f>'Datos Actividad'!$N21*'FE Sectorial'!$H24*'FE Sectorial'!L24/1000/1000</f>
        <v>931.39800000000002</v>
      </c>
      <c r="L25" s="17">
        <f>'Datos Actividad'!$N21*'FE Sectorial'!$H24*'FE Sectorial'!M24/1000/1000</f>
        <v>62.093199999999996</v>
      </c>
      <c r="M25" s="17">
        <f>'Datos Actividad'!$N21*'FE Sectorial'!$H24*'FE Sectorial'!N24/1000/1000</f>
        <v>15.523299999999999</v>
      </c>
      <c r="N25" s="17">
        <f>'Datos Actividad'!$N21*'FE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298159.12776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8245514.0624774033</v>
      </c>
      <c r="I26" s="134">
        <f t="shared" ref="I26:O26" si="6">I27+I28</f>
        <v>147.88761209491526</v>
      </c>
      <c r="J26" s="134">
        <f t="shared" si="6"/>
        <v>16.083747142372882</v>
      </c>
      <c r="K26" s="134">
        <f t="shared" si="6"/>
        <v>22201.979028474572</v>
      </c>
      <c r="L26" s="134">
        <f t="shared" si="6"/>
        <v>2938.6271518983049</v>
      </c>
      <c r="M26" s="134">
        <f t="shared" si="6"/>
        <v>735.18804047457627</v>
      </c>
      <c r="N26" s="134">
        <f t="shared" si="6"/>
        <v>1009.5052874576272</v>
      </c>
      <c r="O26" s="134">
        <f t="shared" si="6"/>
        <v>8253605.6639455315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8245514.0624774033</v>
      </c>
      <c r="I28" s="15">
        <f t="shared" si="7"/>
        <v>147.88761209491526</v>
      </c>
      <c r="J28" s="15">
        <f t="shared" si="7"/>
        <v>16.083747142372882</v>
      </c>
      <c r="K28" s="15">
        <f t="shared" si="7"/>
        <v>22201.979028474572</v>
      </c>
      <c r="L28" s="15">
        <f t="shared" si="7"/>
        <v>2938.6271518983049</v>
      </c>
      <c r="M28" s="15">
        <f t="shared" si="7"/>
        <v>735.18804047457627</v>
      </c>
      <c r="N28" s="15">
        <f t="shared" si="7"/>
        <v>1009.5052874576272</v>
      </c>
      <c r="O28" s="15">
        <f t="shared" si="7"/>
        <v>8253605.6639455315</v>
      </c>
    </row>
    <row r="29" spans="1:15" outlineLevel="1" x14ac:dyDescent="0.25">
      <c r="B29" s="1" t="s">
        <v>7</v>
      </c>
      <c r="G29" s="1"/>
      <c r="H29" s="95">
        <f t="shared" ref="H29:O29" si="8">H30+H31</f>
        <v>79490.594710403384</v>
      </c>
      <c r="I29" s="95">
        <f t="shared" si="8"/>
        <v>0.92305709491525423</v>
      </c>
      <c r="J29" s="95">
        <f t="shared" si="8"/>
        <v>1.2687049423728816</v>
      </c>
      <c r="K29" s="95">
        <f t="shared" si="8"/>
        <v>256.11802847457631</v>
      </c>
      <c r="L29" s="95">
        <f t="shared" si="8"/>
        <v>17.124056898305085</v>
      </c>
      <c r="M29" s="95">
        <f t="shared" si="8"/>
        <v>4.3181554745762707</v>
      </c>
      <c r="N29" s="95">
        <f t="shared" si="8"/>
        <v>799.44140745762718</v>
      </c>
      <c r="O29" s="95">
        <f t="shared" si="8"/>
        <v>79903.277441532191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Actividad'!$N26*'FE Sectorial'!$H29*'FE Sectorial'!I29*'FE Sectorial'!P29/1000</f>
        <v>77310.878743403387</v>
      </c>
      <c r="I30" s="17">
        <f>'Datos Actividad'!$N26*'FE Sectorial'!$H29*'FE Sectorial'!J29/1000/1000</f>
        <v>0.83391809491525426</v>
      </c>
      <c r="J30" s="17">
        <f>'Datos Actividad'!$N26*'FE Sectorial'!$H29*'FE Sectorial'!K29/1000/1000</f>
        <v>1.2508771423728815</v>
      </c>
      <c r="K30" s="17">
        <f>'Datos Actividad'!$N26*'FE Sectorial'!$H29*'FE Sectorial'!L29/1000/1000</f>
        <v>250.17542847457631</v>
      </c>
      <c r="L30" s="17">
        <f>'Datos Actividad'!$N26*'FE Sectorial'!$H29*'FE Sectorial'!M29/1000/1000</f>
        <v>16.678361898305084</v>
      </c>
      <c r="M30" s="17">
        <f>'Datos Actividad'!$N26*'FE Sectorial'!$H29*'FE Sectorial'!N29/1000/1000</f>
        <v>4.1695904745762711</v>
      </c>
      <c r="N30" s="17">
        <f>'Datos Actividad'!$N26*'FE Sectorial'!$H29*'FE Sectorial'!O29/1000/1000</f>
        <v>798.36344745762722</v>
      </c>
      <c r="O30" s="87">
        <f>IF(D30&lt;400,H30+I30*'Factores generales'!$M$41+J30*'Factores generales'!$N$41,I30*'Factores generales'!$M$41+J30*'Factores generales'!$N$41)</f>
        <v>77716.162937532194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Actividad'!$N27*'FE Sectorial'!$H30*'FE Sectorial'!I30*'FE Sectorial'!P30/1000</f>
        <v>2179.7159669999996</v>
      </c>
      <c r="I31" s="17">
        <f>'Datos Actividad'!$N27*'FE Sectorial'!$H30*'FE Sectorial'!J30/1000/1000</f>
        <v>8.9138999999999996E-2</v>
      </c>
      <c r="J31" s="17">
        <f>'Datos Actividad'!$N27*'FE Sectorial'!$H30*'FE Sectorial'!K30/1000/1000</f>
        <v>1.7827800000000001E-2</v>
      </c>
      <c r="K31" s="17">
        <f>'Datos Actividad'!$N27*'FE Sectorial'!$H30*'FE Sectorial'!L30/1000/1000</f>
        <v>5.9426000000000005</v>
      </c>
      <c r="L31" s="17">
        <f>'Datos Actividad'!$N27*'FE Sectorial'!$H30*'FE Sectorial'!M30/1000/1000</f>
        <v>0.44569500000000001</v>
      </c>
      <c r="M31" s="17">
        <f>'Datos Actividad'!$N27*'FE Sectorial'!$H30*'FE Sectorial'!N30/1000/1000</f>
        <v>0.148565</v>
      </c>
      <c r="N31" s="17">
        <f>'Datos Actividad'!$N27*'FE Sectorial'!$H30*'FE Sectorial'!O30/1000/1000</f>
        <v>1.07796</v>
      </c>
      <c r="O31" s="87">
        <f>IF(D31&lt;400,H31+I31*'Factores generales'!$M$41+J31*'Factores generales'!$N$41,I31*'Factores generales'!$M$41+J31*'Factores generales'!$N$41)</f>
        <v>2187.1145039999997</v>
      </c>
    </row>
    <row r="32" spans="1:15" outlineLevel="1" x14ac:dyDescent="0.25">
      <c r="B32" s="1" t="s">
        <v>6</v>
      </c>
      <c r="G32" s="1"/>
      <c r="H32" s="17">
        <f>H33+H34+H35</f>
        <v>8166023.4677670002</v>
      </c>
      <c r="I32" s="17">
        <f t="shared" ref="I32:O32" si="9">I33+I34+I35</f>
        <v>146.96455499999999</v>
      </c>
      <c r="J32" s="17">
        <f t="shared" si="9"/>
        <v>14.815042200000001</v>
      </c>
      <c r="K32" s="17">
        <f t="shared" si="9"/>
        <v>21945.860999999997</v>
      </c>
      <c r="L32" s="17">
        <f t="shared" si="9"/>
        <v>2921.5030949999996</v>
      </c>
      <c r="M32" s="17">
        <f t="shared" si="9"/>
        <v>730.86988499999995</v>
      </c>
      <c r="N32" s="17">
        <f t="shared" si="9"/>
        <v>210.06388000000001</v>
      </c>
      <c r="O32" s="17">
        <f t="shared" si="9"/>
        <v>8173702.3865039991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Actividad'!$N29*'FE Sectorial'!$H32*'FE Sectorial'!I32*'FE Sectorial'!P32/1000</f>
        <v>8137293.4748160001</v>
      </c>
      <c r="I33" s="17">
        <f>'Datos Actividad'!$N29*'FE Sectorial'!$H32*'FE Sectorial'!J32/1000/1000</f>
        <v>145.77868799999999</v>
      </c>
      <c r="J33" s="17">
        <f>'Datos Actividad'!$N29*'FE Sectorial'!$H32*'FE Sectorial'!K32/1000/1000</f>
        <v>14.577868800000001</v>
      </c>
      <c r="K33" s="17">
        <f>'Datos Actividad'!$N29*'FE Sectorial'!$H32*'FE Sectorial'!L32/1000/1000</f>
        <v>21866.803199999998</v>
      </c>
      <c r="L33" s="17">
        <f>'Datos Actividad'!$N29*'FE Sectorial'!$H32*'FE Sectorial'!M32/1000/1000</f>
        <v>2915.5737599999998</v>
      </c>
      <c r="M33" s="17">
        <f>'Datos Actividad'!$N29*'FE Sectorial'!$H32*'FE Sectorial'!N32/1000/1000</f>
        <v>728.89343999999994</v>
      </c>
      <c r="N33" s="17">
        <f>'Datos Actividad'!$N29*'FE Sectorial'!$H32*'FE Sectorial'!O32/1000/1000</f>
        <v>0</v>
      </c>
      <c r="O33" s="87">
        <f>IF(D33&lt;400,H33+I33*'Factores generales'!$M$41+J33*'Factores generales'!$N$41,I33*'Factores generales'!$M$41+J33*'Factores generales'!$N$41)</f>
        <v>8144873.9665919999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Actividad'!$N30*'FE Sectorial'!$H33*'FE Sectorial'!I33*'FE Sectorial'!P33/1000</f>
        <v>4173.3201509999999</v>
      </c>
      <c r="I34" s="17">
        <f>'Datos Actividad'!$N30*'FE Sectorial'!$H33*'FE Sectorial'!J33/1000/1000</f>
        <v>0.17066700000000001</v>
      </c>
      <c r="J34" s="17">
        <f>'Datos Actividad'!$N30*'FE Sectorial'!$H33*'FE Sectorial'!K33/1000/1000</f>
        <v>3.4133400000000001E-2</v>
      </c>
      <c r="K34" s="17">
        <f>'Datos Actividad'!$N30*'FE Sectorial'!$H33*'FE Sectorial'!L33/1000/1000</f>
        <v>11.377799999999999</v>
      </c>
      <c r="L34" s="17">
        <f>'Datos Actividad'!$N30*'FE Sectorial'!$H33*'FE Sectorial'!M33/1000/1000</f>
        <v>0.85333500000000007</v>
      </c>
      <c r="M34" s="17">
        <f>'Datos Actividad'!$N30*'FE Sectorial'!$H33*'FE Sectorial'!N33/1000/1000</f>
        <v>0.284445</v>
      </c>
      <c r="N34" s="17">
        <f>'Datos Actividad'!$N30*'FE Sectorial'!$H33*'FE Sectorial'!O33/1000/1000</f>
        <v>2.0638800000000002</v>
      </c>
      <c r="O34" s="87">
        <f>IF(D34&lt;400,H34+I34*'Factores generales'!$M$41+J34*'Factores generales'!$N$41,I34*'Factores generales'!$M$41+J34*'Factores generales'!$N$41)</f>
        <v>4187.4855120000002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Actividad'!$N31*'FE Sectorial'!$H34*'FE Sectorial'!I34*'FE Sectorial'!P34/1000</f>
        <v>24556.6728</v>
      </c>
      <c r="I35" s="17">
        <f>'Datos Actividad'!$N31*'FE Sectorial'!$H34*'FE Sectorial'!J34/1000/1000</f>
        <v>1.0152000000000001</v>
      </c>
      <c r="J35" s="17">
        <f>'Datos Actividad'!$N31*'FE Sectorial'!$H34*'FE Sectorial'!K34/1000/1000</f>
        <v>0.20304</v>
      </c>
      <c r="K35" s="17">
        <f>'Datos Actividad'!$N31*'FE Sectorial'!$H34*'FE Sectorial'!L34/1000/1000</f>
        <v>67.680000000000007</v>
      </c>
      <c r="L35" s="17">
        <f>'Datos Actividad'!$N31*'FE Sectorial'!$H34*'FE Sectorial'!M34/1000/1000</f>
        <v>5.0759999999999996</v>
      </c>
      <c r="M35" s="17">
        <f>'Datos Actividad'!$N31*'FE Sectorial'!$H34*'FE Sectorial'!N34/1000/1000</f>
        <v>1.6919999999999999</v>
      </c>
      <c r="N35" s="17">
        <f>'Datos Actividad'!$N31*'FE Sectorial'!$H34*'FE Sectorial'!O34/1000/1000</f>
        <v>208</v>
      </c>
      <c r="O35" s="87">
        <f>IF(D35&lt;400,H35+I35*'Factores generales'!$M$41+J35*'Factores generales'!$N$41,I35*'Factores generales'!$M$41+J35*'Factores generales'!$N$41)</f>
        <v>24640.934400000002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23206260.172092326</v>
      </c>
      <c r="I36" s="129">
        <f t="shared" si="10"/>
        <v>3006.8223223419564</v>
      </c>
      <c r="J36" s="129">
        <f t="shared" si="10"/>
        <v>423.80074616777711</v>
      </c>
      <c r="K36" s="129">
        <f t="shared" si="10"/>
        <v>65993.820211831306</v>
      </c>
      <c r="L36" s="129">
        <f t="shared" si="10"/>
        <v>325189.00535202003</v>
      </c>
      <c r="M36" s="129">
        <f t="shared" si="10"/>
        <v>6473.4001139558231</v>
      </c>
      <c r="N36" s="129">
        <f t="shared" si="10"/>
        <v>7326.5508942265733</v>
      </c>
      <c r="O36" s="129">
        <f t="shared" si="10"/>
        <v>23400781.672173515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7558047.783277221</v>
      </c>
      <c r="I37" s="134">
        <f t="shared" ref="I37:O37" si="11">SUM(I38:I44)</f>
        <v>85.674289596824224</v>
      </c>
      <c r="J37" s="134">
        <f t="shared" si="11"/>
        <v>33.339342155237986</v>
      </c>
      <c r="K37" s="134">
        <f t="shared" si="11"/>
        <v>15350.005656190304</v>
      </c>
      <c r="L37" s="134">
        <f t="shared" si="11"/>
        <v>4635.3579172380605</v>
      </c>
      <c r="M37" s="134">
        <f t="shared" si="11"/>
        <v>686.51260165078793</v>
      </c>
      <c r="N37" s="134">
        <f t="shared" si="11"/>
        <v>108.97599999999998</v>
      </c>
      <c r="O37" s="134">
        <f t="shared" si="11"/>
        <v>7570182.1394268768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Actividad'!$N34*'FE Sectorial'!$H37*'FE Sectorial'!I37*'FE Sectorial'!P37/1000</f>
        <v>2768307.6254209206</v>
      </c>
      <c r="I38" s="17">
        <f>'Datos Actividad'!$N34*'FE Sectorial'!$H37*'FE Sectorial'!J37/1000/1000</f>
        <v>49.593916560000004</v>
      </c>
      <c r="J38" s="17">
        <f>'Datos Actividad'!$N34*'FE Sectorial'!$H37*'FE Sectorial'!K37/1000/1000</f>
        <v>4.9593916560000011</v>
      </c>
      <c r="K38" s="17">
        <f>'Datos Actividad'!$N34*'FE Sectorial'!$H37*'FE Sectorial'!L37/1000/1000</f>
        <v>7439.0874840000006</v>
      </c>
      <c r="L38" s="17">
        <f>'Datos Actividad'!$N34*'FE Sectorial'!$H37*'FE Sectorial'!M37/1000/1000</f>
        <v>1487.8174968000001</v>
      </c>
      <c r="M38" s="17">
        <f>'Datos Actividad'!$N34*'FE Sectorial'!$H37*'FE Sectorial'!N37/1000/1000</f>
        <v>247.96958280000001</v>
      </c>
      <c r="N38" s="17">
        <f>'Datos Actividad'!$N34*'FE Sectorial'!$H37*'FE Sectorial'!O37/1000/1000</f>
        <v>0</v>
      </c>
      <c r="O38" s="87">
        <f>IF(D38&lt;400,H38+I38*'Factores generales'!$M$41+J38*'Factores generales'!$N$41,I38*'Factores generales'!$M$41+J38*'Factores generales'!$N$41)</f>
        <v>2770886.5090820403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Actividad'!$N35*'FE Sectorial'!$H38*'FE Sectorial'!I38*'FE Sectorial'!P38/1000</f>
        <v>2802138.8288827855</v>
      </c>
      <c r="I39" s="17">
        <f>'Datos Actividad'!$N35*'FE Sectorial'!$H38*'FE Sectorial'!J38/1000/1000</f>
        <v>10.831615109713127</v>
      </c>
      <c r="J39" s="17">
        <f>'Datos Actividad'!$N35*'FE Sectorial'!$H38*'FE Sectorial'!K38/1000/1000</f>
        <v>1.0831615109713126</v>
      </c>
      <c r="K39" s="17">
        <f>'Datos Actividad'!$N35*'FE Sectorial'!$H38*'FE Sectorial'!L38/1000/1000</f>
        <v>1624.7422664569688</v>
      </c>
      <c r="L39" s="17">
        <f>'Datos Actividad'!$N35*'FE Sectorial'!$H38*'FE Sectorial'!M38/1000/1000</f>
        <v>324.94845329139378</v>
      </c>
      <c r="M39" s="17">
        <f>'Datos Actividad'!$N35*'FE Sectorial'!$H38*'FE Sectorial'!N38/1000/1000</f>
        <v>54.158075548565627</v>
      </c>
      <c r="N39" s="17">
        <f>'Datos Actividad'!$N35*'FE Sectorial'!$H38*'FE Sectorial'!O38/1000/1000</f>
        <v>0</v>
      </c>
      <c r="O39" s="87">
        <f>IF(D39&lt;400,H39+I39*'Factores generales'!$M$41+J39*'Factores generales'!$N$41,I39*'Factores generales'!$M$41+J39*'Factores generales'!$N$41)</f>
        <v>2802702.0728684906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Actividad'!$N36*'FE Sectorial'!$H39*'FE Sectorial'!I39*'FE Sectorial'!P39/1000</f>
        <v>266016.74092804804</v>
      </c>
      <c r="I40" s="17">
        <f>'Datos Actividad'!$N36*'FE Sectorial'!$H39*'FE Sectorial'!J39/1000/1000</f>
        <v>6.0214754160000012</v>
      </c>
      <c r="J40" s="17">
        <f>'Datos Actividad'!$N36*'FE Sectorial'!$H39*'FE Sectorial'!K39/1000/1000</f>
        <v>0.60214754160000006</v>
      </c>
      <c r="K40" s="17">
        <f>'Datos Actividad'!$N36*'FE Sectorial'!$H39*'FE Sectorial'!L39/1000/1000</f>
        <v>903.22131240000022</v>
      </c>
      <c r="L40" s="17">
        <f>'Datos Actividad'!$N36*'FE Sectorial'!$H39*'FE Sectorial'!M39/1000/1000</f>
        <v>180.64426248000001</v>
      </c>
      <c r="M40" s="17">
        <f>'Datos Actividad'!$N36*'FE Sectorial'!$H39*'FE Sectorial'!N39/1000/1000</f>
        <v>30.107377080000006</v>
      </c>
      <c r="N40" s="17">
        <f>'Datos Actividad'!$N36*'FE Sectorial'!$H39*'FE Sectorial'!O39/1000/1000</f>
        <v>0</v>
      </c>
      <c r="O40" s="87">
        <f>IF(D40&lt;400,H40+I40*'Factores generales'!$M$41+J40*'Factores generales'!$N$41,I40*'Factores generales'!$M$41+J40*'Factores generales'!$N$41)</f>
        <v>266329.85764968005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Actividad'!$N37*'FE Sectorial'!$H40*'FE Sectorial'!I40*'FE Sectorial'!P40/1000</f>
        <v>0</v>
      </c>
      <c r="I41" s="17">
        <f>'Datos Actividad'!$N37*'FE Sectorial'!$H40*'FE Sectorial'!J40/1000/1000</f>
        <v>0</v>
      </c>
      <c r="J41" s="17">
        <f>'Datos Actividad'!$N37*'FE Sectorial'!$H40*'FE Sectorial'!K40/1000/1000</f>
        <v>0</v>
      </c>
      <c r="K41" s="17">
        <f>'Datos Actividad'!$N37*'FE Sectorial'!$H40*'FE Sectorial'!L40/1000/1000</f>
        <v>0</v>
      </c>
      <c r="L41" s="17">
        <f>'Datos Actividad'!$N37*'FE Sectorial'!$H40*'FE Sectorial'!M40/1000/1000</f>
        <v>0</v>
      </c>
      <c r="M41" s="17">
        <f>'Datos Actividad'!$N37*'FE Sectorial'!$H40*'FE Sectorial'!N40/1000/1000</f>
        <v>0</v>
      </c>
      <c r="N41" s="17">
        <f>'Datos Actividad'!$N37*'FE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Actividad'!$N38*'FE Sectorial'!$H41*'FE Sectorial'!I41*'FE Sectorial'!P41/1000</f>
        <v>42169.494628799999</v>
      </c>
      <c r="I42" s="17">
        <f>'Datos Actividad'!$N38*'FE Sectorial'!$H41*'FE Sectorial'!J41/1000/1000</f>
        <v>1.6509864000000001</v>
      </c>
      <c r="J42" s="17">
        <f>'Datos Actividad'!$N38*'FE Sectorial'!$H41*'FE Sectorial'!K41/1000/1000</f>
        <v>0.33019727999999998</v>
      </c>
      <c r="K42" s="17">
        <f>'Datos Actividad'!$N38*'FE Sectorial'!$H41*'FE Sectorial'!L41/1000/1000</f>
        <v>110.06575999999998</v>
      </c>
      <c r="L42" s="17">
        <f>'Datos Actividad'!$N38*'FE Sectorial'!$H41*'FE Sectorial'!M41/1000/1000</f>
        <v>5.5032879999999986</v>
      </c>
      <c r="M42" s="17">
        <f>'Datos Actividad'!$N38*'FE Sectorial'!$H41*'FE Sectorial'!N41/1000/1000</f>
        <v>2.7516439999999993</v>
      </c>
      <c r="N42" s="17">
        <f>'Datos Actividad'!$N38*'FE Sectorial'!$H41*'FE Sectorial'!O41/1000/1000</f>
        <v>108.97599999999998</v>
      </c>
      <c r="O42" s="87">
        <f>IF(D42&lt;400,H42+I42*'Factores generales'!$M$41+J42*'Factores generales'!$N$41,I42*'Factores generales'!$M$41+J42*'Factores generales'!$N$41)</f>
        <v>42306.5265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Actividad'!$N39*'FE Sectorial'!$H42*'FE Sectorial'!I42*'FE Sectorial'!P42/1000</f>
        <v>1322861.8016250001</v>
      </c>
      <c r="I43" s="17">
        <f>'Datos Actividad'!$N39*'FE Sectorial'!$H42*'FE Sectorial'!J42/1000/1000</f>
        <v>13.8447075</v>
      </c>
      <c r="J43" s="17">
        <f>'Datos Actividad'!$N39*'FE Sectorial'!$H42*'FE Sectorial'!K42/1000/1000</f>
        <v>20.767061250000001</v>
      </c>
      <c r="K43" s="17">
        <f>'Datos Actividad'!$N39*'FE Sectorial'!$H42*'FE Sectorial'!L42/1000/1000</f>
        <v>4153.4122500000003</v>
      </c>
      <c r="L43" s="17">
        <f>'Datos Actividad'!$N39*'FE Sectorial'!$H42*'FE Sectorial'!M42/1000/1000</f>
        <v>2076.7061250000002</v>
      </c>
      <c r="M43" s="17">
        <f>'Datos Actividad'!$N39*'FE Sectorial'!$H42*'FE Sectorial'!N42/1000/1000</f>
        <v>276.89415000000002</v>
      </c>
      <c r="N43" s="17">
        <f>'Datos Actividad'!$N39*'FE Sectorial'!$H42*'FE Sectorial'!O42/1000/1000</f>
        <v>0</v>
      </c>
      <c r="O43" s="87">
        <f>IF(D43&lt;400,H43+I43*'Factores generales'!$M$41+J43*'Factores generales'!$N$41,I43*'Factores generales'!$M$41+J43*'Factores generales'!$N$41)</f>
        <v>1329590.32947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Actividad'!$N40*'FE Sectorial'!$H43*'FE Sectorial'!I43*'FE Sectorial'!P43/1000</f>
        <v>356553.29179166665</v>
      </c>
      <c r="I44" s="17">
        <f>'Datos Actividad'!$N40*'FE Sectorial'!$H43*'FE Sectorial'!J43/1000/1000</f>
        <v>3.731588611111111</v>
      </c>
      <c r="J44" s="17">
        <f>'Datos Actividad'!$N40*'FE Sectorial'!$H43*'FE Sectorial'!K43/1000/1000</f>
        <v>5.5973829166666675</v>
      </c>
      <c r="K44" s="17">
        <f>'Datos Actividad'!$N40*'FE Sectorial'!$H43*'FE Sectorial'!L43/1000/1000</f>
        <v>1119.4765833333333</v>
      </c>
      <c r="L44" s="17">
        <f>'Datos Actividad'!$N40*'FE Sectorial'!$H43*'FE Sectorial'!M43/1000/1000</f>
        <v>559.73829166666667</v>
      </c>
      <c r="M44" s="17">
        <f>'Datos Actividad'!$N40*'FE Sectorial'!$H43*'FE Sectorial'!N43/1000/1000</f>
        <v>74.631772222222224</v>
      </c>
      <c r="N44" s="17">
        <f>'Datos Actividad'!$N40*'FE Sectorial'!$H43*'FE Sectorial'!O43/1000/1000</f>
        <v>0</v>
      </c>
      <c r="O44" s="87">
        <f>IF(D44&lt;400,H44+I44*'Factores generales'!$M$41+J44*'Factores generales'!$N$41,I44*'Factores generales'!$M$41+J44*'Factores generales'!$N$41)</f>
        <v>358366.84385666664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1103947.9227612002</v>
      </c>
      <c r="I45" s="134">
        <f t="shared" ref="I45:O45" si="12">I46</f>
        <v>19.777101600000002</v>
      </c>
      <c r="J45" s="134">
        <f t="shared" si="12"/>
        <v>1.97771016</v>
      </c>
      <c r="K45" s="134">
        <f t="shared" si="12"/>
        <v>2966.5652400000004</v>
      </c>
      <c r="L45" s="134">
        <f t="shared" si="12"/>
        <v>593.31304799999998</v>
      </c>
      <c r="M45" s="134">
        <f t="shared" si="12"/>
        <v>98.885508000000002</v>
      </c>
      <c r="N45" s="134">
        <f t="shared" si="12"/>
        <v>0</v>
      </c>
      <c r="O45" s="134">
        <f t="shared" si="12"/>
        <v>1104976.3320444003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Actividad'!$N42*'FE Sectorial'!$H45*'FE Sectorial'!I45*'FE Sectorial'!P45/1000</f>
        <v>1103947.9227612002</v>
      </c>
      <c r="I46" s="17">
        <f>'Datos Actividad'!$N42*'FE Sectorial'!$H45*'FE Sectorial'!J45/1000/1000</f>
        <v>19.777101600000002</v>
      </c>
      <c r="J46" s="17">
        <f>'Datos Actividad'!$N42*'FE Sectorial'!$H45*'FE Sectorial'!K45/1000/1000</f>
        <v>1.97771016</v>
      </c>
      <c r="K46" s="17">
        <f>'Datos Actividad'!$N42*'FE Sectorial'!$H45*'FE Sectorial'!L45/1000/1000</f>
        <v>2966.5652400000004</v>
      </c>
      <c r="L46" s="17">
        <f>'Datos Actividad'!$N42*'FE Sectorial'!$H45*'FE Sectorial'!M45/1000/1000</f>
        <v>593.31304799999998</v>
      </c>
      <c r="M46" s="17">
        <f>'Datos Actividad'!$N42*'FE Sectorial'!$H45*'FE Sectorial'!N45/1000/1000</f>
        <v>98.885508000000002</v>
      </c>
      <c r="N46" s="17">
        <f>'Datos Actividad'!$N42*'FE Sectorial'!$H45*'FE Sectorial'!O45/1000/1000</f>
        <v>0</v>
      </c>
      <c r="O46" s="87">
        <f>IF(D46&lt;400,H46+I46*'Factores generales'!$M$41+J46*'Factores generales'!$N$41,I46*'Factores generales'!$M$41+J46*'Factores generales'!$N$41)</f>
        <v>1104976.3320444003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1606325.6611224781</v>
      </c>
      <c r="I47" s="134">
        <f t="shared" ref="I47:O47" si="13">SUM(I48:I55)</f>
        <v>143.59137499783543</v>
      </c>
      <c r="J47" s="134">
        <f t="shared" si="13"/>
        <v>18.218012271743522</v>
      </c>
      <c r="K47" s="134">
        <f t="shared" si="13"/>
        <v>4697.5564990514204</v>
      </c>
      <c r="L47" s="134">
        <f t="shared" si="13"/>
        <v>16140.086465010991</v>
      </c>
      <c r="M47" s="134">
        <f t="shared" si="13"/>
        <v>334.64695379317959</v>
      </c>
      <c r="N47" s="134">
        <f t="shared" si="13"/>
        <v>24.727</v>
      </c>
      <c r="O47" s="134">
        <f t="shared" si="13"/>
        <v>1614988.6638016731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Actividad'!$N44*'FE Sectorial'!$H47*'FE Sectorial'!I47*'FE Sectorial'!P47/1000</f>
        <v>1595345.0131386782</v>
      </c>
      <c r="I48" s="17">
        <f>'Datos Actividad'!$N44*'FE Sectorial'!$H47*'FE Sectorial'!J47/1000/1000</f>
        <v>28.580424639036146</v>
      </c>
      <c r="J48" s="17">
        <f>'Datos Actividad'!$N44*'FE Sectorial'!$H47*'FE Sectorial'!K47/1000/1000</f>
        <v>2.8580424639036144</v>
      </c>
      <c r="K48" s="17">
        <f>'Datos Actividad'!$N44*'FE Sectorial'!$H47*'FE Sectorial'!L47/1000/1000</f>
        <v>4287.0636958554223</v>
      </c>
      <c r="L48" s="17">
        <f>'Datos Actividad'!$N44*'FE Sectorial'!$H47*'FE Sectorial'!M47/1000/1000</f>
        <v>857.41273917108435</v>
      </c>
      <c r="M48" s="17">
        <f>'Datos Actividad'!$N44*'FE Sectorial'!$H47*'FE Sectorial'!N47/1000/1000</f>
        <v>142.90212319518074</v>
      </c>
      <c r="N48" s="17">
        <f>'Datos Actividad'!$N44*'FE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1596831.1952199081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Actividad'!$N45*'FE Sectorial'!$H48*'FE Sectorial'!I48*'FE Sectorial'!P48/1000</f>
        <v>0</v>
      </c>
      <c r="I49" s="17">
        <f>'Datos Actividad'!$N45*'FE Sectorial'!$H48*'FE Sectorial'!J48/1000/1000</f>
        <v>0</v>
      </c>
      <c r="J49" s="17">
        <f>'Datos Actividad'!$N45*'FE Sectorial'!$H48*'FE Sectorial'!K48/1000/1000</f>
        <v>0</v>
      </c>
      <c r="K49" s="17">
        <f>'Datos Actividad'!$N45*'FE Sectorial'!$H48*'FE Sectorial'!L48/1000/1000</f>
        <v>0</v>
      </c>
      <c r="L49" s="17">
        <f>'Datos Actividad'!$N45*'FE Sectorial'!$H48*'FE Sectorial'!M48/1000/1000</f>
        <v>0</v>
      </c>
      <c r="M49" s="17">
        <f>'Datos Actividad'!$N45*'FE Sectorial'!$H48*'FE Sectorial'!N48/1000/1000</f>
        <v>0</v>
      </c>
      <c r="N49" s="17">
        <f>'Datos Actividad'!$N45*'FE Sectorial'!$H48*'FE Sectorial'!O48/1000/1000</f>
        <v>0</v>
      </c>
      <c r="O49" s="87">
        <f>IF(D49&lt;400,H49+I49*'Factores generales'!$M$41+J49*'Factores generales'!$N$41,I49*'Factores generales'!$M$41+J49*'Factores generales'!$N$41)</f>
        <v>0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Actividad'!$N46*'FE Sectorial'!$H49*'FE Sectorial'!I49*'FE Sectorial'!P49/1000</f>
        <v>394.30462499999993</v>
      </c>
      <c r="I50" s="17">
        <f>'Datos Actividad'!$N46*'FE Sectorial'!$H49*'FE Sectorial'!J49/1000/1000</f>
        <v>1.6125E-2</v>
      </c>
      <c r="J50" s="17">
        <f>'Datos Actividad'!$N46*'FE Sectorial'!$H49*'FE Sectorial'!K49/1000/1000</f>
        <v>3.225E-3</v>
      </c>
      <c r="K50" s="17">
        <f>'Datos Actividad'!$N46*'FE Sectorial'!$H49*'FE Sectorial'!L49/1000/1000</f>
        <v>1.075</v>
      </c>
      <c r="L50" s="17">
        <f>'Datos Actividad'!$N46*'FE Sectorial'!$H49*'FE Sectorial'!M49/1000/1000</f>
        <v>5.3749999999999999E-2</v>
      </c>
      <c r="M50" s="17">
        <f>'Datos Actividad'!$N46*'FE Sectorial'!$H49*'FE Sectorial'!N49/1000/1000</f>
        <v>2.6875E-2</v>
      </c>
      <c r="N50" s="17">
        <f>'Datos Actividad'!$N46*'FE Sectorial'!$H49*'FE Sectorial'!O49/1000/1000</f>
        <v>0.19500000000000001</v>
      </c>
      <c r="O50" s="87">
        <f>IF(D50&lt;400,H50+I50*'Factores generales'!$M$41+J50*'Factores generales'!$N$41,I50*'Factores generales'!$M$41+J50*'Factores generales'!$N$41)</f>
        <v>395.64299999999992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Actividad'!$N47*'FE Sectorial'!$H50*'FE Sectorial'!I50*'FE Sectorial'!P50/1000</f>
        <v>1122.817806</v>
      </c>
      <c r="I51" s="17">
        <f>'Datos Actividad'!$N47*'FE Sectorial'!$H50*'FE Sectorial'!J50/1000/1000</f>
        <v>1.7974E-2</v>
      </c>
      <c r="J51" s="17">
        <f>'Datos Actividad'!$N47*'FE Sectorial'!$H50*'FE Sectorial'!K50/1000/1000</f>
        <v>1.7974000000000002E-3</v>
      </c>
      <c r="K51" s="17">
        <f>'Datos Actividad'!$N47*'FE Sectorial'!$H50*'FE Sectorial'!L50/1000/1000</f>
        <v>2.6960999999999999</v>
      </c>
      <c r="L51" s="17">
        <f>'Datos Actividad'!$N47*'FE Sectorial'!$H50*'FE Sectorial'!M50/1000/1000</f>
        <v>0.53922000000000003</v>
      </c>
      <c r="M51" s="17">
        <f>'Datos Actividad'!$N47*'FE Sectorial'!$H50*'FE Sectorial'!N50/1000/1000</f>
        <v>8.9870000000000005E-2</v>
      </c>
      <c r="N51" s="17">
        <f>'Datos Actividad'!$N47*'FE Sectorial'!$H50*'FE Sectorial'!O50/1000/1000</f>
        <v>7.6000000000000012E-2</v>
      </c>
      <c r="O51" s="87">
        <f>IF(D51&lt;400,H51+I51*'Factores generales'!$M$41+J51*'Factores generales'!$N$41,I51*'Factores generales'!$M$41+J51*'Factores generales'!$N$41)</f>
        <v>1123.7524539999999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Actividad'!$N48*'FE Sectorial'!$H51*'FE Sectorial'!I51*'FE Sectorial'!P51/1000</f>
        <v>9463.5255527999998</v>
      </c>
      <c r="I52" s="17">
        <f>'Datos Actividad'!$N48*'FE Sectorial'!$H51*'FE Sectorial'!J51/1000/1000</f>
        <v>0.37050840000000007</v>
      </c>
      <c r="J52" s="17">
        <f>'Datos Actividad'!$N48*'FE Sectorial'!$H51*'FE Sectorial'!K51/1000/1000</f>
        <v>7.4101679999999989E-2</v>
      </c>
      <c r="K52" s="17">
        <f>'Datos Actividad'!$N48*'FE Sectorial'!$H51*'FE Sectorial'!L51/1000/1000</f>
        <v>24.700560000000003</v>
      </c>
      <c r="L52" s="17">
        <f>'Datos Actividad'!$N48*'FE Sectorial'!$H51*'FE Sectorial'!M51/1000/1000</f>
        <v>1.235028</v>
      </c>
      <c r="M52" s="17">
        <f>'Datos Actividad'!$N48*'FE Sectorial'!$H51*'FE Sectorial'!N51/1000/1000</f>
        <v>0.61751400000000001</v>
      </c>
      <c r="N52" s="17">
        <f>'Datos Actividad'!$N48*'FE Sectorial'!$H51*'FE Sectorial'!O51/1000/1000</f>
        <v>24.456</v>
      </c>
      <c r="O52" s="87">
        <f>IF(D52&lt;400,H52+I52*'Factores generales'!$M$41+J52*'Factores generales'!$N$41,I52*'Factores generales'!$M$41+J52*'Factores generales'!$N$41)</f>
        <v>9494.2777499999993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Actividad'!$N49*'FE Sectorial'!$H52*'FE Sectorial'!I52*'FE Sectorial'!P52/1000</f>
        <v>332358.39458051801</v>
      </c>
      <c r="I53" s="17">
        <f>'Datos Actividad'!$N49*'FE Sectorial'!$H52*'FE Sectorial'!J52/1000/1000</f>
        <v>114.6063429587993</v>
      </c>
      <c r="J53" s="17">
        <f>'Datos Actividad'!$N49*'FE Sectorial'!$H52*'FE Sectorial'!K52/1000/1000</f>
        <v>15.280845727839907</v>
      </c>
      <c r="K53" s="17">
        <f>'Datos Actividad'!$N49*'FE Sectorial'!$H52*'FE Sectorial'!L52/1000/1000</f>
        <v>382.02114319599769</v>
      </c>
      <c r="L53" s="17">
        <f>'Datos Actividad'!$N49*'FE Sectorial'!$H52*'FE Sectorial'!M52/1000/1000</f>
        <v>15280.845727839906</v>
      </c>
      <c r="M53" s="17">
        <f>'Datos Actividad'!$N49*'FE Sectorial'!$H52*'FE Sectorial'!N52/1000/1000</f>
        <v>191.01057159799885</v>
      </c>
      <c r="N53" s="17">
        <f>'Datos Actividad'!$N49*'FE Sectorial'!$H52*'FE Sectorial'!O52/1000/1000</f>
        <v>0</v>
      </c>
      <c r="O53" s="87">
        <f>IF(D53&lt;400,H53+I53*'Factores generales'!$M$41+J53*'Factores generales'!$N$41,I53*'Factores generales'!$M$41+J53*'Factores generales'!$N$41)</f>
        <v>7143.7953777651564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Actividad'!$N50*'FE Sectorial'!$H53*'FE Sectorial'!I53*'FE Sectorial'!P53/1000</f>
        <v>0</v>
      </c>
      <c r="I54" s="17">
        <f>'Datos Actividad'!$N50*'FE Sectorial'!$H53*'FE Sectorial'!J53/1000/1000</f>
        <v>0</v>
      </c>
      <c r="J54" s="17">
        <f>'Datos Actividad'!$N50*'FE Sectorial'!$H53*'FE Sectorial'!K53/1000/1000</f>
        <v>0</v>
      </c>
      <c r="K54" s="17">
        <f>'Datos Actividad'!$N50*'FE Sectorial'!$H53*'FE Sectorial'!L53/1000/1000</f>
        <v>0</v>
      </c>
      <c r="L54" s="17">
        <f>'Datos Actividad'!$N50*'FE Sectorial'!$H53*'FE Sectorial'!M53/1000/1000</f>
        <v>0</v>
      </c>
      <c r="M54" s="17">
        <f>'Datos Actividad'!$N50*'FE Sectorial'!$H53*'FE Sectorial'!N53/1000/1000</f>
        <v>0</v>
      </c>
      <c r="N54" s="17">
        <f>'Datos Actividad'!$N50*'FE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Actividad'!$N51*'FE Sectorial'!$H54*'FE Sectorial'!I54*'FE Sectorial'!P54/1000</f>
        <v>0</v>
      </c>
      <c r="I55" s="17">
        <f>'Datos Actividad'!$N51*'FE Sectorial'!$H54*'FE Sectorial'!J54/1000/1000</f>
        <v>0</v>
      </c>
      <c r="J55" s="17">
        <f>'Datos Actividad'!$N51*'FE Sectorial'!$H54*'FE Sectorial'!K54/1000/1000</f>
        <v>0</v>
      </c>
      <c r="K55" s="17">
        <f>'Datos Actividad'!$N51*'FE Sectorial'!$H54*'FE Sectorial'!L54/1000/1000</f>
        <v>0</v>
      </c>
      <c r="L55" s="17">
        <f>'Datos Actividad'!$N51*'FE Sectorial'!$H54*'FE Sectorial'!M54/1000/1000</f>
        <v>0</v>
      </c>
      <c r="M55" s="17">
        <f>'Datos Actividad'!$N51*'FE Sectorial'!$H54*'FE Sectorial'!N54/1000/1000</f>
        <v>0</v>
      </c>
      <c r="N55" s="17">
        <f>'Datos Actividad'!$N51*'FE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789870.28034772002</v>
      </c>
      <c r="I56" s="134">
        <f>SUM(I57:I62)</f>
        <v>617.40909491879927</v>
      </c>
      <c r="J56" s="134">
        <f t="shared" ref="J56:O56" si="14">SUM(J57:J62)</f>
        <v>82.281014903839903</v>
      </c>
      <c r="K56" s="134">
        <f t="shared" si="14"/>
        <v>4113.5278871959972</v>
      </c>
      <c r="L56" s="134">
        <f t="shared" si="14"/>
        <v>70695.498958639902</v>
      </c>
      <c r="M56" s="134">
        <f t="shared" si="14"/>
        <v>1068.1494653979989</v>
      </c>
      <c r="N56" s="134">
        <f t="shared" si="14"/>
        <v>1594.7620399999996</v>
      </c>
      <c r="O56" s="134">
        <f t="shared" si="14"/>
        <v>828342.98596120509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Actividad'!$N53*'FE Sectorial'!$H56*'FE Sectorial'!I56*'FE Sectorial'!P56/1000</f>
        <v>655337.23822512</v>
      </c>
      <c r="I57" s="17">
        <f>'Datos Actividad'!$N53*'FE Sectorial'!$H56*'FE Sectorial'!J56/1000/1000</f>
        <v>11.740292160000001</v>
      </c>
      <c r="J57" s="17">
        <f>'Datos Actividad'!$N53*'FE Sectorial'!$H56*'FE Sectorial'!K56/1000/1000</f>
        <v>1.1740292159999999</v>
      </c>
      <c r="K57" s="17">
        <f>'Datos Actividad'!$N53*'FE Sectorial'!$H56*'FE Sectorial'!L56/1000/1000</f>
        <v>1761.0438240000001</v>
      </c>
      <c r="L57" s="17">
        <f>'Datos Actividad'!$N53*'FE Sectorial'!$H56*'FE Sectorial'!M56/1000/1000</f>
        <v>352.20876479999998</v>
      </c>
      <c r="M57" s="17">
        <f>'Datos Actividad'!$N53*'FE Sectorial'!$H56*'FE Sectorial'!N56/1000/1000</f>
        <v>58.701460799999992</v>
      </c>
      <c r="N57" s="17">
        <f>'Datos Actividad'!$N53*'FE Sectorial'!$H56*'FE Sectorial'!O56/1000/1000</f>
        <v>0</v>
      </c>
      <c r="O57" s="87">
        <f>IF(D57&lt;400,H57+I57*'Factores generales'!$M$41+J57*'Factores generales'!$N$41,I57*'Factores generales'!$M$41+J57*'Factores generales'!$N$41)</f>
        <v>655947.73341743997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Actividad'!$N54*'FE Sectorial'!$H57*'FE Sectorial'!I57*'FE Sectorial'!P57/1000</f>
        <v>28.389932999999996</v>
      </c>
      <c r="I58" s="17">
        <f>'Datos Actividad'!$N54*'FE Sectorial'!$H57*'FE Sectorial'!J57/1000/1000</f>
        <v>1.1610000000000001E-3</v>
      </c>
      <c r="J58" s="17">
        <f>'Datos Actividad'!$N54*'FE Sectorial'!$H57*'FE Sectorial'!K57/1000/1000</f>
        <v>2.3219999999999998E-4</v>
      </c>
      <c r="K58" s="17">
        <f>'Datos Actividad'!$N54*'FE Sectorial'!$H57*'FE Sectorial'!L57/1000/1000</f>
        <v>7.740000000000001E-2</v>
      </c>
      <c r="L58" s="17">
        <f>'Datos Actividad'!$N54*'FE Sectorial'!$H57*'FE Sectorial'!M57/1000/1000</f>
        <v>3.8700000000000002E-3</v>
      </c>
      <c r="M58" s="17">
        <f>'Datos Actividad'!$N54*'FE Sectorial'!$H57*'FE Sectorial'!N57/1000/1000</f>
        <v>1.9350000000000001E-3</v>
      </c>
      <c r="N58" s="17">
        <f>'Datos Actividad'!$N54*'FE Sectorial'!$H57*'FE Sectorial'!O57/1000/1000</f>
        <v>1.4039999999999999E-2</v>
      </c>
      <c r="O58" s="87">
        <f>IF(D58&lt;400,H58+I58*'Factores generales'!$M$41+J58*'Factores generales'!$N$41,I58*'Factores generales'!$M$41+J58*'Factores generales'!$N$41)</f>
        <v>28.486295999999996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Actividad'!$N55*'FE Sectorial'!$H58*'FE Sectorial'!I58*'FE Sectorial'!P58/1000</f>
        <v>134504.65218959999</v>
      </c>
      <c r="I59" s="17">
        <f>'Datos Actividad'!$N55*'FE Sectorial'!$H58*'FE Sectorial'!J58/1000/1000</f>
        <v>5.2660187999999994</v>
      </c>
      <c r="J59" s="17">
        <f>'Datos Actividad'!$N55*'FE Sectorial'!$H58*'FE Sectorial'!K58/1000/1000</f>
        <v>1.0532037599999999</v>
      </c>
      <c r="K59" s="17">
        <f>'Datos Actividad'!$N55*'FE Sectorial'!$H58*'FE Sectorial'!L58/1000/1000</f>
        <v>351.06791999999996</v>
      </c>
      <c r="L59" s="17">
        <f>'Datos Actividad'!$N55*'FE Sectorial'!$H58*'FE Sectorial'!M58/1000/1000</f>
        <v>17.553395999999999</v>
      </c>
      <c r="M59" s="17">
        <f>'Datos Actividad'!$N55*'FE Sectorial'!$H58*'FE Sectorial'!N58/1000/1000</f>
        <v>8.7766979999999997</v>
      </c>
      <c r="N59" s="17">
        <f>'Datos Actividad'!$N55*'FE Sectorial'!$H58*'FE Sectorial'!O58/1000/1000</f>
        <v>347.59199999999998</v>
      </c>
      <c r="O59" s="87">
        <f>IF(D59&lt;400,H59+I59*'Factores generales'!$M$41+J59*'Factores generales'!$N$41,I59*'Factores generales'!$M$41+J59*'Factores generales'!$N$41)</f>
        <v>134941.73174999998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Actividad'!$N56*'FE Sectorial'!$H59*'FE Sectorial'!I59*'FE Sectorial'!P59/1000</f>
        <v>655620.72479999997</v>
      </c>
      <c r="I60" s="17">
        <f>'Datos Actividad'!$N56*'FE Sectorial'!$H59*'FE Sectorial'!J59/1000/1000</f>
        <v>226.07611199999997</v>
      </c>
      <c r="J60" s="17">
        <f>'Datos Actividad'!$N56*'FE Sectorial'!$H59*'FE Sectorial'!K59/1000/1000</f>
        <v>30.143481599999998</v>
      </c>
      <c r="K60" s="17">
        <f>'Datos Actividad'!$N56*'FE Sectorial'!$H59*'FE Sectorial'!L59/1000/1000</f>
        <v>753.58704</v>
      </c>
      <c r="L60" s="17">
        <f>'Datos Actividad'!$N56*'FE Sectorial'!$H59*'FE Sectorial'!M59/1000/1000</f>
        <v>30143.481599999999</v>
      </c>
      <c r="M60" s="17">
        <f>'Datos Actividad'!$N56*'FE Sectorial'!$H59*'FE Sectorial'!N59/1000/1000</f>
        <v>376.79352</v>
      </c>
      <c r="N60" s="17">
        <f>'Datos Actividad'!$N56*'FE Sectorial'!$H59*'FE Sectorial'!O59/1000/1000</f>
        <v>0</v>
      </c>
      <c r="O60" s="87">
        <f>IF(D60&lt;400,H60+I60*'Factores generales'!$M$41+J60*'Factores generales'!$N$41,I60*'Factores generales'!$M$41+J60*'Factores generales'!$N$41)</f>
        <v>14092.077647999999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Actividad'!$N57*'FE Sectorial'!$H60*'FE Sectorial'!I60*'FE Sectorial'!P60/1000</f>
        <v>473939.23449599993</v>
      </c>
      <c r="I61" s="17">
        <f>'Datos Actividad'!$N57*'FE Sectorial'!$H60*'FE Sectorial'!J60/1000/1000</f>
        <v>145.91725199999999</v>
      </c>
      <c r="J61" s="17">
        <f>'Datos Actividad'!$N57*'FE Sectorial'!$H60*'FE Sectorial'!K60/1000/1000</f>
        <v>19.455633599999999</v>
      </c>
      <c r="K61" s="17">
        <f>'Datos Actividad'!$N57*'FE Sectorial'!$H60*'FE Sectorial'!L60/1000/1000</f>
        <v>486.39083999999997</v>
      </c>
      <c r="L61" s="17">
        <f>'Datos Actividad'!$N57*'FE Sectorial'!$H60*'FE Sectorial'!M60/1000/1000</f>
        <v>9727.8167999999987</v>
      </c>
      <c r="M61" s="17">
        <f>'Datos Actividad'!$N57*'FE Sectorial'!$H60*'FE Sectorial'!N60/1000/1000</f>
        <v>243.19541999999998</v>
      </c>
      <c r="N61" s="17">
        <f>'Datos Actividad'!$N57*'FE Sectorial'!$H60*'FE Sectorial'!O60/1000/1000</f>
        <v>1247.1559999999997</v>
      </c>
      <c r="O61" s="87">
        <f>IF(D61&lt;400,H61+I61*'Factores generales'!$M$41+J61*'Factores generales'!$N$41,I61*'Factores generales'!$M$41+J61*'Factores generales'!$N$41)</f>
        <v>9095.5087079999994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Actividad'!$N58*'FE Sectorial'!$H61*'FE Sectorial'!I61*'FE Sectorial'!P61/1000</f>
        <v>662383.95098051801</v>
      </c>
      <c r="I62" s="17">
        <f>'Datos Actividad'!$N58*'FE Sectorial'!$H61*'FE Sectorial'!J61/1000/1000</f>
        <v>228.40825895879931</v>
      </c>
      <c r="J62" s="17">
        <f>'Datos Actividad'!$N58*'FE Sectorial'!$H61*'FE Sectorial'!K61/1000/1000</f>
        <v>30.454434527839904</v>
      </c>
      <c r="K62" s="17">
        <f>'Datos Actividad'!$N58*'FE Sectorial'!$H61*'FE Sectorial'!L61/1000/1000</f>
        <v>761.36086319599769</v>
      </c>
      <c r="L62" s="17">
        <f>'Datos Actividad'!$N58*'FE Sectorial'!$H61*'FE Sectorial'!M61/1000/1000</f>
        <v>30454.434527839905</v>
      </c>
      <c r="M62" s="17">
        <f>'Datos Actividad'!$N58*'FE Sectorial'!$H61*'FE Sectorial'!N61/1000/1000</f>
        <v>380.68043159799885</v>
      </c>
      <c r="N62" s="17">
        <f>'Datos Actividad'!$N58*'FE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14237.448141765155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2757541.9114465201</v>
      </c>
      <c r="I63" s="134">
        <f>SUM(I64:I69)</f>
        <v>1452.4945003187993</v>
      </c>
      <c r="J63" s="134">
        <f t="shared" ref="J63:O63" si="15">SUM(J64:J69)</f>
        <v>192.05277458383992</v>
      </c>
      <c r="K63" s="134">
        <f t="shared" si="15"/>
        <v>12086.002627196</v>
      </c>
      <c r="L63" s="134">
        <f t="shared" si="15"/>
        <v>188451.08197663989</v>
      </c>
      <c r="M63" s="134">
        <f t="shared" si="15"/>
        <v>2584.8775343979983</v>
      </c>
      <c r="N63" s="134">
        <f t="shared" si="15"/>
        <v>28.937040000000003</v>
      </c>
      <c r="O63" s="134">
        <f t="shared" si="15"/>
        <v>2847580.6560742045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Actividad'!$N60*'FE Sectorial'!$H63*'FE Sectorial'!I63*'FE Sectorial'!P63/1000</f>
        <v>2747213.0791261201</v>
      </c>
      <c r="I64" s="17">
        <f>'Datos Actividad'!$N60*'FE Sectorial'!$H63*'FE Sectorial'!J63/1000/1000</f>
        <v>49.216010160000003</v>
      </c>
      <c r="J64" s="17">
        <f>'Datos Actividad'!$N60*'FE Sectorial'!$H63*'FE Sectorial'!K63/1000/1000</f>
        <v>4.9216010160000003</v>
      </c>
      <c r="K64" s="17">
        <f>'Datos Actividad'!$N60*'FE Sectorial'!$H63*'FE Sectorial'!L63/1000/1000</f>
        <v>7382.4015240000008</v>
      </c>
      <c r="L64" s="17">
        <f>'Datos Actividad'!$N60*'FE Sectorial'!$H63*'FE Sectorial'!M63/1000/1000</f>
        <v>1476.4803048000003</v>
      </c>
      <c r="M64" s="17">
        <f>'Datos Actividad'!$N60*'FE Sectorial'!$H63*'FE Sectorial'!N63/1000/1000</f>
        <v>246.08005080000004</v>
      </c>
      <c r="N64" s="17">
        <f>'Datos Actividad'!$N60*'FE Sectorial'!$H63*'FE Sectorial'!O63/1000/1000</f>
        <v>0</v>
      </c>
      <c r="O64" s="87">
        <f>IF(D64&lt;400,H64+I64*'Factores generales'!$M$41+J64*'Factores generales'!$N$41,I64*'Factores generales'!$M$41+J64*'Factores generales'!$N$41)</f>
        <v>2749772.3116544397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Actividad'!$N61*'FE Sectorial'!$H64*'FE Sectorial'!I64*'FE Sectorial'!P64/1000</f>
        <v>3577.1315579999996</v>
      </c>
      <c r="I65" s="17">
        <f>'Datos Actividad'!$N61*'FE Sectorial'!$H64*'FE Sectorial'!J64/1000/1000</f>
        <v>0.146286</v>
      </c>
      <c r="J65" s="17">
        <f>'Datos Actividad'!$N61*'FE Sectorial'!$H64*'FE Sectorial'!K64/1000/1000</f>
        <v>2.9257200000000001E-2</v>
      </c>
      <c r="K65" s="17">
        <f>'Datos Actividad'!$N61*'FE Sectorial'!$H64*'FE Sectorial'!L64/1000/1000</f>
        <v>9.7523999999999997</v>
      </c>
      <c r="L65" s="17">
        <f>'Datos Actividad'!$N61*'FE Sectorial'!$H64*'FE Sectorial'!M64/1000/1000</f>
        <v>0.48762</v>
      </c>
      <c r="M65" s="17">
        <f>'Datos Actividad'!$N61*'FE Sectorial'!$H64*'FE Sectorial'!N64/1000/1000</f>
        <v>0.24381</v>
      </c>
      <c r="N65" s="17">
        <f>'Datos Actividad'!$N61*'FE Sectorial'!$H64*'FE Sectorial'!O64/1000/1000</f>
        <v>1.7690399999999999</v>
      </c>
      <c r="O65" s="87">
        <f>IF(D65&lt;400,H65+I65*'Factores generales'!$M$41+J65*'Factores generales'!$N$41,I65*'Factores generales'!$M$41+J65*'Factores generales'!$N$41)</f>
        <v>3589.2732959999994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Actividad'!$N62*'FE Sectorial'!$H65*'FE Sectorial'!I65*'FE Sectorial'!P65/1000</f>
        <v>6751.7007623999998</v>
      </c>
      <c r="I66" s="17">
        <f>'Datos Actividad'!$N62*'FE Sectorial'!$H65*'FE Sectorial'!J65/1000/1000</f>
        <v>0.26433719999999994</v>
      </c>
      <c r="J66" s="17">
        <f>'Datos Actividad'!$N62*'FE Sectorial'!$H65*'FE Sectorial'!K65/1000/1000</f>
        <v>5.2867439999999995E-2</v>
      </c>
      <c r="K66" s="17">
        <f>'Datos Actividad'!$N62*'FE Sectorial'!$H65*'FE Sectorial'!L65/1000/1000</f>
        <v>17.622479999999999</v>
      </c>
      <c r="L66" s="17">
        <f>'Datos Actividad'!$N62*'FE Sectorial'!$H65*'FE Sectorial'!M65/1000/1000</f>
        <v>0.88112400000000002</v>
      </c>
      <c r="M66" s="17">
        <f>'Datos Actividad'!$N62*'FE Sectorial'!$H65*'FE Sectorial'!N65/1000/1000</f>
        <v>0.44056200000000001</v>
      </c>
      <c r="N66" s="17">
        <f>'Datos Actividad'!$N62*'FE Sectorial'!$H65*'FE Sectorial'!O65/1000/1000</f>
        <v>17.448</v>
      </c>
      <c r="O66" s="87">
        <f>IF(D66&lt;400,H66+I66*'Factores generales'!$M$41+J66*'Factores generales'!$N$41,I66*'Factores generales'!$M$41+J66*'Factores generales'!$N$41)</f>
        <v>6773.6407500000005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Actividad'!$N63*'FE Sectorial'!$H66*'FE Sectorial'!I66*'FE Sectorial'!P66/1000</f>
        <v>3715184.1072</v>
      </c>
      <c r="I67" s="17">
        <f>'Datos Actividad'!$N63*'FE Sectorial'!$H66*'FE Sectorial'!J66/1000/1000</f>
        <v>1281.097968</v>
      </c>
      <c r="J67" s="17">
        <f>'Datos Actividad'!$N63*'FE Sectorial'!$H66*'FE Sectorial'!K66/1000/1000</f>
        <v>170.81306240000001</v>
      </c>
      <c r="K67" s="17">
        <f>'Datos Actividad'!$N63*'FE Sectorial'!$H66*'FE Sectorial'!L66/1000/1000</f>
        <v>4270.3265599999995</v>
      </c>
      <c r="L67" s="17">
        <f>'Datos Actividad'!$N63*'FE Sectorial'!$H66*'FE Sectorial'!M66/1000/1000</f>
        <v>170813.0624</v>
      </c>
      <c r="M67" s="17">
        <f>'Datos Actividad'!$N63*'FE Sectorial'!$H66*'FE Sectorial'!N66/1000/1000</f>
        <v>2135.1632799999998</v>
      </c>
      <c r="N67" s="17">
        <f>'Datos Actividad'!$N63*'FE Sectorial'!$H66*'FE Sectorial'!O66/1000/1000</f>
        <v>0</v>
      </c>
      <c r="O67" s="87">
        <f>IF(D67&lt;400,H67+I67*'Factores generales'!$M$41+J67*'Factores generales'!$N$41,I67*'Factores generales'!$M$41+J67*'Factores generales'!$N$41)</f>
        <v>79855.106671999994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Actividad'!$N64*'FE Sectorial'!$H67*'FE Sectorial'!I67*'FE Sectorial'!P67/1000</f>
        <v>3693.7555200000002</v>
      </c>
      <c r="I68" s="17">
        <f>'Datos Actividad'!$N64*'FE Sectorial'!$H67*'FE Sectorial'!J67/1000/1000</f>
        <v>1.13724</v>
      </c>
      <c r="J68" s="17">
        <f>'Datos Actividad'!$N64*'FE Sectorial'!$H67*'FE Sectorial'!K67/1000/1000</f>
        <v>0.15163200000000002</v>
      </c>
      <c r="K68" s="17">
        <f>'Datos Actividad'!$N64*'FE Sectorial'!$H67*'FE Sectorial'!L67/1000/1000</f>
        <v>3.7908000000000004</v>
      </c>
      <c r="L68" s="17">
        <f>'Datos Actividad'!$N64*'FE Sectorial'!$H67*'FE Sectorial'!M67/1000/1000</f>
        <v>75.816000000000003</v>
      </c>
      <c r="M68" s="17">
        <f>'Datos Actividad'!$N64*'FE Sectorial'!$H67*'FE Sectorial'!N67/1000/1000</f>
        <v>1.8954000000000002</v>
      </c>
      <c r="N68" s="17">
        <f>'Datos Actividad'!$N64*'FE Sectorial'!$H67*'FE Sectorial'!O67/1000/1000</f>
        <v>9.7200000000000006</v>
      </c>
      <c r="O68" s="87">
        <f>IF(D68&lt;400,H68+I68*'Factores generales'!$M$41+J68*'Factores generales'!$N$41,I68*'Factores generales'!$M$41+J68*'Factores generales'!$N$41)</f>
        <v>70.887960000000007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Actividad'!$N65*'FE Sectorial'!$H68*'FE Sectorial'!I68*'FE Sectorial'!P68/1000</f>
        <v>349834.71098051796</v>
      </c>
      <c r="I69" s="17">
        <f>'Datos Actividad'!$N65*'FE Sectorial'!$H68*'FE Sectorial'!J68/1000/1000</f>
        <v>120.63265895879933</v>
      </c>
      <c r="J69" s="17">
        <f>'Datos Actividad'!$N65*'FE Sectorial'!$H68*'FE Sectorial'!K68/1000/1000</f>
        <v>16.08435452783991</v>
      </c>
      <c r="K69" s="17">
        <f>'Datos Actividad'!$N65*'FE Sectorial'!$H68*'FE Sectorial'!L68/1000/1000</f>
        <v>402.10886319599774</v>
      </c>
      <c r="L69" s="17">
        <f>'Datos Actividad'!$N65*'FE Sectorial'!$H68*'FE Sectorial'!M68/1000/1000</f>
        <v>16084.354527839909</v>
      </c>
      <c r="M69" s="17">
        <f>'Datos Actividad'!$N65*'FE Sectorial'!$H68*'FE Sectorial'!N68/1000/1000</f>
        <v>201.05443159799887</v>
      </c>
      <c r="N69" s="17">
        <f>'Datos Actividad'!$N65*'FE Sectorial'!$H68*'FE Sectorial'!O68/1000/1000</f>
        <v>0</v>
      </c>
      <c r="O69" s="87">
        <f>IF(D69&lt;400,H69+I69*'Factores generales'!$M$41+J69*'Factores generales'!$N$41,I69*'Factores generales'!$M$41+J69*'Factores generales'!$N$41)</f>
        <v>7519.4357417651581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9390526.6131371856</v>
      </c>
      <c r="I70" s="134">
        <f t="shared" si="16"/>
        <v>687.87596090969828</v>
      </c>
      <c r="J70" s="134">
        <f t="shared" si="16"/>
        <v>95.931892093115778</v>
      </c>
      <c r="K70" s="134">
        <f t="shared" si="16"/>
        <v>26780.162302197576</v>
      </c>
      <c r="L70" s="134">
        <f t="shared" si="16"/>
        <v>44673.666986491189</v>
      </c>
      <c r="M70" s="134">
        <f t="shared" si="16"/>
        <v>1700.3280507158588</v>
      </c>
      <c r="N70" s="134">
        <f t="shared" si="16"/>
        <v>5569.1488142265734</v>
      </c>
      <c r="O70" s="134">
        <f t="shared" si="16"/>
        <v>9434710.8948651571</v>
      </c>
    </row>
    <row r="71" spans="1:15" outlineLevel="1" x14ac:dyDescent="0.25">
      <c r="B71" s="1" t="s">
        <v>36</v>
      </c>
      <c r="G71" s="1"/>
      <c r="H71" s="15">
        <f>H72+H73+H74+H76</f>
        <v>2713849.4320098003</v>
      </c>
      <c r="I71" s="15">
        <f>SUM(I72:I76)</f>
        <v>281.40778350869562</v>
      </c>
      <c r="J71" s="15">
        <f t="shared" ref="J71:O71" si="17">SUM(J72:J76)</f>
        <v>42.476485537826086</v>
      </c>
      <c r="K71" s="15">
        <f t="shared" si="17"/>
        <v>8279.1201186956514</v>
      </c>
      <c r="L71" s="15">
        <f t="shared" si="17"/>
        <v>17648.759140913044</v>
      </c>
      <c r="M71" s="15">
        <f t="shared" si="17"/>
        <v>689.24592634782607</v>
      </c>
      <c r="N71" s="15">
        <f t="shared" si="17"/>
        <v>2018.2399443478259</v>
      </c>
      <c r="O71" s="15">
        <f t="shared" si="17"/>
        <v>2732926.7059802092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Actividad'!$N68*'FE Sectorial'!$H71*'FE Sectorial'!I71*'FE Sectorial'!P71/1000</f>
        <v>2271179.4844068</v>
      </c>
      <c r="I72" s="17">
        <f>'Datos Actividad'!$N68*'FE Sectorial'!$H71*'FE Sectorial'!J71/1000/1000</f>
        <v>40.687922399999998</v>
      </c>
      <c r="J72" s="17">
        <f>'Datos Actividad'!$N68*'FE Sectorial'!$H71*'FE Sectorial'!K71/1000/1000</f>
        <v>4.0687922400000005</v>
      </c>
      <c r="K72" s="17">
        <f>'Datos Actividad'!$N68*'FE Sectorial'!$H71*'FE Sectorial'!L71/1000/1000</f>
        <v>6103.1883600000001</v>
      </c>
      <c r="L72" s="17">
        <f>'Datos Actividad'!$N68*'FE Sectorial'!$H71*'FE Sectorial'!M71/1000/1000</f>
        <v>1220.6376720000001</v>
      </c>
      <c r="M72" s="17">
        <f>'Datos Actividad'!$N68*'FE Sectorial'!$H71*'FE Sectorial'!N71/1000/1000</f>
        <v>203.43961199999998</v>
      </c>
      <c r="N72" s="17">
        <f>'Datos Actividad'!$N68*'FE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2273295.2563716001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Actividad'!$N69*'FE Sectorial'!$H72*'FE Sectorial'!I72*'FE Sectorial'!P72/1000</f>
        <v>1716.0137279999999</v>
      </c>
      <c r="I73" s="17">
        <f>'Datos Actividad'!$N69*'FE Sectorial'!$H72*'FE Sectorial'!J72/1000/1000</f>
        <v>7.0176000000000002E-2</v>
      </c>
      <c r="J73" s="17">
        <f>'Datos Actividad'!$N69*'FE Sectorial'!$H72*'FE Sectorial'!K72/1000/1000</f>
        <v>1.4035199999999999E-2</v>
      </c>
      <c r="K73" s="17">
        <f>'Datos Actividad'!$N69*'FE Sectorial'!$H72*'FE Sectorial'!L72/1000/1000</f>
        <v>4.6783999999999999</v>
      </c>
      <c r="L73" s="17">
        <f>'Datos Actividad'!$N69*'FE Sectorial'!$H72*'FE Sectorial'!M72/1000/1000</f>
        <v>0.23391999999999999</v>
      </c>
      <c r="M73" s="17">
        <f>'Datos Actividad'!$N69*'FE Sectorial'!$H72*'FE Sectorial'!N72/1000/1000</f>
        <v>0.11695999999999999</v>
      </c>
      <c r="N73" s="17">
        <f>'Datos Actividad'!$N69*'FE Sectorial'!$H72*'FE Sectorial'!O72/1000/1000</f>
        <v>0.84863999999999995</v>
      </c>
      <c r="O73" s="87">
        <f>IF(D73&lt;400,H73+I73*'Factores generales'!$M$41+J73*'Factores generales'!$N$41,I73*'Factores generales'!$M$41+J73*'Factores generales'!$N$41)</f>
        <v>1721.838336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Actividad'!$N70*'FE Sectorial'!$H73*'FE Sectorial'!I73*'FE Sectorial'!P73/1000</f>
        <v>440953.93387499999</v>
      </c>
      <c r="I74" s="17">
        <f>'Datos Actividad'!$N70*'FE Sectorial'!$H73*'FE Sectorial'!J73/1000/1000</f>
        <v>4.6149025000000004</v>
      </c>
      <c r="J74" s="17">
        <f>'Datos Actividad'!$N70*'FE Sectorial'!$H73*'FE Sectorial'!K73/1000/1000</f>
        <v>6.922353750000001</v>
      </c>
      <c r="K74" s="17">
        <f>'Datos Actividad'!$N70*'FE Sectorial'!$H73*'FE Sectorial'!L73/1000/1000</f>
        <v>1384.47075</v>
      </c>
      <c r="L74" s="17">
        <f>'Datos Actividad'!$N70*'FE Sectorial'!$H73*'FE Sectorial'!M73/1000/1000</f>
        <v>692.23537499999998</v>
      </c>
      <c r="M74" s="17">
        <f>'Datos Actividad'!$N70*'FE Sectorial'!$H73*'FE Sectorial'!N73/1000/1000</f>
        <v>92.298050000000003</v>
      </c>
      <c r="N74" s="17">
        <f>'Datos Actividad'!$N70*'FE Sectorial'!$H73*'FE Sectorial'!O73/1000/1000</f>
        <v>0</v>
      </c>
      <c r="O74" s="87">
        <f>IF(D74&lt;400,H74+I74*'Factores generales'!$M$41+J74*'Factores generales'!$N$41,I74*'Factores generales'!$M$41+J74*'Factores generales'!$N$41)</f>
        <v>443196.77648999996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Actividad'!$N71*'FE Sectorial'!$H74*'FE Sectorial'!I74*'FE Sectorial'!P74/1000</f>
        <v>766640.97391304339</v>
      </c>
      <c r="I75" s="17">
        <f>'Datos Actividad'!$N71*'FE Sectorial'!$H74*'FE Sectorial'!J74/1000/1000</f>
        <v>236.03478260869565</v>
      </c>
      <c r="J75" s="17">
        <f>'Datos Actividad'!$N71*'FE Sectorial'!$H74*'FE Sectorial'!K74/1000/1000</f>
        <v>31.471304347826084</v>
      </c>
      <c r="K75" s="17">
        <f>'Datos Actividad'!$N71*'FE Sectorial'!$H74*'FE Sectorial'!L74/1000/1000</f>
        <v>786.78260869565213</v>
      </c>
      <c r="L75" s="17">
        <f>'Datos Actividad'!$N71*'FE Sectorial'!$H74*'FE Sectorial'!M74/1000/1000</f>
        <v>15735.652173913042</v>
      </c>
      <c r="M75" s="17">
        <f>'Datos Actividad'!$N71*'FE Sectorial'!$H74*'FE Sectorial'!N74/1000/1000</f>
        <v>393.39130434782606</v>
      </c>
      <c r="N75" s="17">
        <f>'Datos Actividad'!$N71*'FE Sectorial'!$H74*'FE Sectorial'!O74/1000/1000</f>
        <v>2017.391304347826</v>
      </c>
      <c r="O75" s="87">
        <f>IF(D75&lt;400,H75+I75*'Factores generales'!$M$41+J75*'Factores generales'!$N$41,I75*'Factores generales'!$M$41+J75*'Factores generales'!$N$41)</f>
        <v>14712.834782608694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Actividad'!$N72*'FE Sectorial'!$H75*'FE Sectorial'!I75*'FE Sectorial'!P75/1000</f>
        <v>0</v>
      </c>
      <c r="I76" s="17">
        <f>'Datos Actividad'!$N72*'FE Sectorial'!$H75*'FE Sectorial'!J75/1000/1000</f>
        <v>0</v>
      </c>
      <c r="J76" s="17">
        <f>'Datos Actividad'!$N72*'FE Sectorial'!$H75*'FE Sectorial'!K75/1000/1000</f>
        <v>0</v>
      </c>
      <c r="K76" s="17">
        <f>'Datos Actividad'!$N72*'FE Sectorial'!$H75*'FE Sectorial'!L75/1000/1000</f>
        <v>0</v>
      </c>
      <c r="L76" s="17">
        <f>'Datos Actividad'!$N72*'FE Sectorial'!$H75*'FE Sectorial'!M75/1000/1000</f>
        <v>0</v>
      </c>
      <c r="M76" s="17">
        <f>'Datos Actividad'!$N72*'FE Sectorial'!$H75*'FE Sectorial'!N75/1000/1000</f>
        <v>0</v>
      </c>
      <c r="N76" s="17">
        <f>'Datos Actividad'!$N72*'FE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80673.449151240013</v>
      </c>
      <c r="I77" s="15">
        <f t="shared" si="18"/>
        <v>1.4570713199999998</v>
      </c>
      <c r="J77" s="15">
        <f t="shared" si="18"/>
        <v>0.147809832</v>
      </c>
      <c r="K77" s="15">
        <f t="shared" si="18"/>
        <v>216.808448</v>
      </c>
      <c r="L77" s="15">
        <f t="shared" si="18"/>
        <v>43.151419600000004</v>
      </c>
      <c r="M77" s="15">
        <f t="shared" si="18"/>
        <v>7.2152666000000014</v>
      </c>
      <c r="N77" s="15">
        <f t="shared" si="18"/>
        <v>0.25428000000000001</v>
      </c>
      <c r="O77" s="15">
        <f t="shared" si="18"/>
        <v>80749.868696880018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Actividad'!$N74*'FE Sectorial'!$H77*'FE Sectorial'!I77*'FE Sectorial'!P77/1000</f>
        <v>80159.275920240019</v>
      </c>
      <c r="I78" s="17">
        <f>'Datos Actividad'!$N74*'FE Sectorial'!$H77*'FE Sectorial'!J77/1000/1000</f>
        <v>1.4360443199999999</v>
      </c>
      <c r="J78" s="17">
        <f>'Datos Actividad'!$N74*'FE Sectorial'!$H77*'FE Sectorial'!K77/1000/1000</f>
        <v>0.143604432</v>
      </c>
      <c r="K78" s="17">
        <f>'Datos Actividad'!$N74*'FE Sectorial'!$H77*'FE Sectorial'!L77/1000/1000</f>
        <v>215.40664799999999</v>
      </c>
      <c r="L78" s="17">
        <f>'Datos Actividad'!$N74*'FE Sectorial'!$H77*'FE Sectorial'!M77/1000/1000</f>
        <v>43.081329600000004</v>
      </c>
      <c r="M78" s="17">
        <f>'Datos Actividad'!$N74*'FE Sectorial'!$H77*'FE Sectorial'!N77/1000/1000</f>
        <v>7.1802216000000012</v>
      </c>
      <c r="N78" s="17">
        <f>'Datos Actividad'!$N74*'FE Sectorial'!$H77*'FE Sectorial'!O77/1000/1000</f>
        <v>0</v>
      </c>
      <c r="O78" s="87">
        <f>IF(D78&lt;400,H78+I78*'Factores generales'!$M$41+J78*'Factores generales'!$N$41,I78*'Factores generales'!$M$41+J78*'Factores generales'!$N$41)</f>
        <v>80233.950224880013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Actividad'!$N75*'FE Sectorial'!$H78*'FE Sectorial'!I78*'FE Sectorial'!P78/1000</f>
        <v>514.17323099999999</v>
      </c>
      <c r="I79" s="17">
        <f>'Datos Actividad'!$N75*'FE Sectorial'!$H78*'FE Sectorial'!J78/1000/1000</f>
        <v>2.1027000000000001E-2</v>
      </c>
      <c r="J79" s="17">
        <f>'Datos Actividad'!$N75*'FE Sectorial'!$H78*'FE Sectorial'!K78/1000/1000</f>
        <v>4.2053999999999998E-3</v>
      </c>
      <c r="K79" s="17">
        <f>'Datos Actividad'!$N75*'FE Sectorial'!$H78*'FE Sectorial'!L78/1000/1000</f>
        <v>1.4017999999999999</v>
      </c>
      <c r="L79" s="17">
        <f>'Datos Actividad'!$N75*'FE Sectorial'!$H78*'FE Sectorial'!M78/1000/1000</f>
        <v>7.009E-2</v>
      </c>
      <c r="M79" s="17">
        <f>'Datos Actividad'!$N75*'FE Sectorial'!$H78*'FE Sectorial'!N78/1000/1000</f>
        <v>3.5045E-2</v>
      </c>
      <c r="N79" s="17">
        <f>'Datos Actividad'!$N75*'FE Sectorial'!$H78*'FE Sectorial'!O78/1000/1000</f>
        <v>0.25428000000000001</v>
      </c>
      <c r="O79" s="87">
        <f>IF(D79&lt;400,H79+I79*'Factores generales'!$M$41+J79*'Factores generales'!$N$41,I79*'Factores generales'!$M$41+J79*'Factores generales'!$N$41)</f>
        <v>515.91847199999995</v>
      </c>
    </row>
    <row r="80" spans="1:15" outlineLevel="1" x14ac:dyDescent="0.25">
      <c r="B80" s="1" t="s">
        <v>37</v>
      </c>
      <c r="G80" s="1"/>
      <c r="H80" s="15">
        <f>SUM(H81:H83)</f>
        <v>95246.660183399988</v>
      </c>
      <c r="I80" s="15">
        <f>SUM(I81:I85)</f>
        <v>269.47449215879931</v>
      </c>
      <c r="J80" s="15">
        <f t="shared" ref="J80:O80" si="19">SUM(J81:J85)</f>
        <v>35.920860247839904</v>
      </c>
      <c r="K80" s="15">
        <f t="shared" si="19"/>
        <v>1147.9708831959977</v>
      </c>
      <c r="L80" s="15">
        <f t="shared" si="19"/>
        <v>23937.811363839908</v>
      </c>
      <c r="M80" s="15">
        <f t="shared" si="19"/>
        <v>453.95295759799887</v>
      </c>
      <c r="N80" s="15">
        <f t="shared" si="19"/>
        <v>1515.5695999999996</v>
      </c>
      <c r="O80" s="15">
        <f t="shared" si="19"/>
        <v>112041.09119556514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Actividad'!$N77*'FE Sectorial'!$H80*'FE Sectorial'!I80*'FE Sectorial'!P80/1000</f>
        <v>80862.427463399988</v>
      </c>
      <c r="I81" s="17">
        <f>'Datos Actividad'!$N77*'FE Sectorial'!$H80*'FE Sectorial'!J80/1000/1000</f>
        <v>1.4486412</v>
      </c>
      <c r="J81" s="17">
        <f>'Datos Actividad'!$N77*'FE Sectorial'!$H80*'FE Sectorial'!K80/1000/1000</f>
        <v>0.14486411999999999</v>
      </c>
      <c r="K81" s="17">
        <f>'Datos Actividad'!$N77*'FE Sectorial'!$H80*'FE Sectorial'!L80/1000/1000</f>
        <v>217.29617999999999</v>
      </c>
      <c r="L81" s="17">
        <f>'Datos Actividad'!$N77*'FE Sectorial'!$H80*'FE Sectorial'!M80/1000/1000</f>
        <v>43.459235999999997</v>
      </c>
      <c r="M81" s="17">
        <f>'Datos Actividad'!$N77*'FE Sectorial'!$H80*'FE Sectorial'!N80/1000/1000</f>
        <v>7.2432059999999998</v>
      </c>
      <c r="N81" s="17">
        <f>'Datos Actividad'!$N77*'FE Sectorial'!$H80*'FE Sectorial'!O80/1000/1000</f>
        <v>0</v>
      </c>
      <c r="O81" s="87">
        <f>IF(D81&lt;400,H81+I81*'Factores generales'!$M$41+J81*'Factores generales'!$N$41,I81*'Factores generales'!$M$41+J81*'Factores generales'!$N$41)</f>
        <v>80937.756805799989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Actividad'!$N78*'FE Sectorial'!$H81*'FE Sectorial'!I81*'FE Sectorial'!P81/1000</f>
        <v>14384.232719999998</v>
      </c>
      <c r="I82" s="17">
        <f>'Datos Actividad'!$N78*'FE Sectorial'!$H81*'FE Sectorial'!J81/1000/1000</f>
        <v>0.58823999999999999</v>
      </c>
      <c r="J82" s="17">
        <f>'Datos Actividad'!$N78*'FE Sectorial'!$H81*'FE Sectorial'!K81/1000/1000</f>
        <v>0.117648</v>
      </c>
      <c r="K82" s="17">
        <f>'Datos Actividad'!$N78*'FE Sectorial'!$H81*'FE Sectorial'!L81/1000/1000</f>
        <v>39.216000000000001</v>
      </c>
      <c r="L82" s="17">
        <f>'Datos Actividad'!$N78*'FE Sectorial'!$H81*'FE Sectorial'!M81/1000/1000</f>
        <v>1.9607999999999999</v>
      </c>
      <c r="M82" s="17">
        <f>'Datos Actividad'!$N78*'FE Sectorial'!$H81*'FE Sectorial'!N81/1000/1000</f>
        <v>0.98039999999999994</v>
      </c>
      <c r="N82" s="17">
        <f>'Datos Actividad'!$N78*'FE Sectorial'!$H81*'FE Sectorial'!O81/1000/1000</f>
        <v>7.1135999999999999</v>
      </c>
      <c r="O82" s="87">
        <f>IF(D82&lt;400,H82+I82*'Factores generales'!$M$41+J82*'Factores generales'!$N$41,I82*'Factores generales'!$M$41+J82*'Factores generales'!$N$41)</f>
        <v>14433.056639999999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Actividad'!$N79*'FE Sectorial'!$H82*'FE Sectorial'!I82*'FE Sectorial'!P82/1000</f>
        <v>0</v>
      </c>
      <c r="I83" s="95">
        <f>'Datos Actividad'!$N79*'FE Sectorial'!$H82*'FE Sectorial'!J82/1000/1000</f>
        <v>0</v>
      </c>
      <c r="J83" s="17">
        <f>'Datos Actividad'!$N79*'FE Sectorial'!$H82*'FE Sectorial'!K82/1000/1000</f>
        <v>0</v>
      </c>
      <c r="K83" s="17">
        <f>'Datos Actividad'!$N79*'FE Sectorial'!$H82*'FE Sectorial'!L82/1000/1000</f>
        <v>0</v>
      </c>
      <c r="L83" s="17">
        <f>'Datos Actividad'!$N79*'FE Sectorial'!$H82*'FE Sectorial'!M82/1000/1000</f>
        <v>0</v>
      </c>
      <c r="M83" s="17">
        <f>'Datos Actividad'!$N79*'FE Sectorial'!$H82*'FE Sectorial'!N82/1000/1000</f>
        <v>0</v>
      </c>
      <c r="N83" s="17">
        <f>'Datos Actividad'!$N79*'FE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Actividad'!$N80*'FE Sectorial'!$H83*'FE Sectorial'!I83*'FE Sectorial'!P83/1000</f>
        <v>573237.41529599996</v>
      </c>
      <c r="I84" s="95">
        <f>'Datos Actividad'!$N80*'FE Sectorial'!$H83*'FE Sectorial'!J83/1000/1000</f>
        <v>176.489352</v>
      </c>
      <c r="J84" s="17">
        <f>'Datos Actividad'!$N80*'FE Sectorial'!$H83*'FE Sectorial'!K83/1000/1000</f>
        <v>23.531913599999996</v>
      </c>
      <c r="K84" s="17">
        <f>'Datos Actividad'!$N80*'FE Sectorial'!$H83*'FE Sectorial'!L83/1000/1000</f>
        <v>588.29783999999995</v>
      </c>
      <c r="L84" s="17">
        <f>'Datos Actividad'!$N80*'FE Sectorial'!$H83*'FE Sectorial'!M83/1000/1000</f>
        <v>11765.956799999998</v>
      </c>
      <c r="M84" s="17">
        <f>'Datos Actividad'!$N80*'FE Sectorial'!$H83*'FE Sectorial'!N83/1000/1000</f>
        <v>294.14891999999998</v>
      </c>
      <c r="N84" s="17">
        <f>'Datos Actividad'!$N80*'FE Sectorial'!$H83*'FE Sectorial'!O83/1000/1000</f>
        <v>1508.4559999999997</v>
      </c>
      <c r="O84" s="87">
        <f>IF(D84&lt;400,H84+I84*'Factores generales'!$M$41+J84*'Factores generales'!$N$41,I84*'Factores generales'!$M$41+J84*'Factores generales'!$N$41)</f>
        <v>11001.169607999998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Actividad'!$N81*'FE Sectorial'!$H84*'FE Sectorial'!I84*'FE Sectorial'!P84/1000</f>
        <v>263749.95098051801</v>
      </c>
      <c r="I85" s="95">
        <f>'Datos Actividad'!$N81*'FE Sectorial'!$H84*'FE Sectorial'!J84/1000/1000</f>
        <v>90.948258958799315</v>
      </c>
      <c r="J85" s="17">
        <f>'Datos Actividad'!$N81*'FE Sectorial'!$H84*'FE Sectorial'!K84/1000/1000</f>
        <v>12.126434527839908</v>
      </c>
      <c r="K85" s="17">
        <f>'Datos Actividad'!$N81*'FE Sectorial'!$H84*'FE Sectorial'!L84/1000/1000</f>
        <v>303.16086319599771</v>
      </c>
      <c r="L85" s="17">
        <f>'Datos Actividad'!$N81*'FE Sectorial'!$H84*'FE Sectorial'!M84/1000/1000</f>
        <v>12126.434527839909</v>
      </c>
      <c r="M85" s="17">
        <f>'Datos Actividad'!$N81*'FE Sectorial'!$H84*'FE Sectorial'!N84/1000/1000</f>
        <v>151.58043159799885</v>
      </c>
      <c r="N85" s="17">
        <f>'Datos Actividad'!$N81*'FE Sectorial'!$H84*'FE Sectorial'!O84/1000/1000</f>
        <v>0</v>
      </c>
      <c r="O85" s="87">
        <f>IF(D85&lt;400,H85+I85*'Factores generales'!$M$41+J85*'Factores generales'!$N$41,I85*'Factores generales'!$M$41+J85*'Factores generales'!$N$41)</f>
        <v>5669.1081417651576</v>
      </c>
    </row>
    <row r="86" spans="2:15" outlineLevel="1" x14ac:dyDescent="0.25">
      <c r="B86" s="1" t="s">
        <v>38</v>
      </c>
      <c r="G86" s="1"/>
      <c r="H86" s="15">
        <f>H87+H88</f>
        <v>243309.36055536004</v>
      </c>
      <c r="I86" s="15">
        <f>I87+I88+I89</f>
        <v>4.35929448</v>
      </c>
      <c r="J86" s="15">
        <f t="shared" ref="J86:O86" si="20">J87+J88+J89</f>
        <v>0.43600684800000011</v>
      </c>
      <c r="K86" s="15">
        <f t="shared" si="20"/>
        <v>653.82967200000019</v>
      </c>
      <c r="L86" s="15">
        <f t="shared" si="20"/>
        <v>130.75819440000001</v>
      </c>
      <c r="M86" s="15">
        <f t="shared" si="20"/>
        <v>21.793892400000004</v>
      </c>
      <c r="N86" s="15">
        <f t="shared" si="20"/>
        <v>9.3599999999999968E-3</v>
      </c>
      <c r="O86" s="15">
        <f t="shared" si="20"/>
        <v>243536.06786232002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Actividad'!$N83*'FE Sectorial'!$H86*'FE Sectorial'!I86*'FE Sectorial'!P86/1000</f>
        <v>243290.43393336004</v>
      </c>
      <c r="I87" s="17">
        <f>'Datos Actividad'!$N83*'FE Sectorial'!$H86*'FE Sectorial'!J86/1000/1000</f>
        <v>4.3585204800000001</v>
      </c>
      <c r="J87" s="17">
        <f>'Datos Actividad'!$N83*'FE Sectorial'!$H86*'FE Sectorial'!K86/1000/1000</f>
        <v>0.4358520480000001</v>
      </c>
      <c r="K87" s="17">
        <f>'Datos Actividad'!$N83*'FE Sectorial'!$H86*'FE Sectorial'!L86/1000/1000</f>
        <v>653.77807200000018</v>
      </c>
      <c r="L87" s="17">
        <f>'Datos Actividad'!$N83*'FE Sectorial'!$H86*'FE Sectorial'!M86/1000/1000</f>
        <v>130.75561440000001</v>
      </c>
      <c r="M87" s="17">
        <f>'Datos Actividad'!$N83*'FE Sectorial'!$H86*'FE Sectorial'!N86/1000/1000</f>
        <v>21.792602400000003</v>
      </c>
      <c r="N87" s="17">
        <f>'Datos Actividad'!$N83*'FE Sectorial'!$H86*'FE Sectorial'!O86/1000/1000</f>
        <v>0</v>
      </c>
      <c r="O87" s="87">
        <f>IF(D87&lt;400,H87+I87*'Factores generales'!$M$41+J87*'Factores generales'!$N$41,I87*'Factores generales'!$M$41+J87*'Factores generales'!$N$41)</f>
        <v>243517.07699832003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Actividad'!$N84*'FE Sectorial'!$H87*'FE Sectorial'!I87*'FE Sectorial'!P87/1000</f>
        <v>18.926621999999995</v>
      </c>
      <c r="I88" s="17">
        <f>'Datos Actividad'!$N84*'FE Sectorial'!$H87*'FE Sectorial'!J87/1000/1000</f>
        <v>7.7399999999999984E-4</v>
      </c>
      <c r="J88" s="17">
        <f>'Datos Actividad'!$N84*'FE Sectorial'!$H87*'FE Sectorial'!K87/1000/1000</f>
        <v>1.5479999999999997E-4</v>
      </c>
      <c r="K88" s="17">
        <f>'Datos Actividad'!$N84*'FE Sectorial'!$H87*'FE Sectorial'!L87/1000/1000</f>
        <v>5.1599999999999986E-2</v>
      </c>
      <c r="L88" s="17">
        <f>'Datos Actividad'!$N84*'FE Sectorial'!$H87*'FE Sectorial'!M87/1000/1000</f>
        <v>2.5799999999999998E-3</v>
      </c>
      <c r="M88" s="17">
        <f>'Datos Actividad'!$N84*'FE Sectorial'!$H87*'FE Sectorial'!N87/1000/1000</f>
        <v>1.2899999999999999E-3</v>
      </c>
      <c r="N88" s="17">
        <f>'Datos Actividad'!$N84*'FE Sectorial'!$H87*'FE Sectorial'!O87/1000/1000</f>
        <v>9.3599999999999968E-3</v>
      </c>
      <c r="O88" s="87">
        <f>IF(D88&lt;400,H88+I88*'Factores generales'!$M$41+J88*'Factores generales'!$N$41,I88*'Factores generales'!$M$41+J88*'Factores generales'!$N$41)</f>
        <v>18.990863999999995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Actividad'!$N85*'FE Sectorial'!$H88*'FE Sectorial'!I88*'FE Sectorial'!P88/1000</f>
        <v>0</v>
      </c>
      <c r="I89" s="95">
        <f>'Datos Actividad'!$N85*'FE Sectorial'!$H88*'FE Sectorial'!J88/1000/1000</f>
        <v>0</v>
      </c>
      <c r="J89" s="17">
        <f>'Datos Actividad'!$N85*'FE Sectorial'!$H88*'FE Sectorial'!K88/1000/1000</f>
        <v>0</v>
      </c>
      <c r="K89" s="17">
        <f>'Datos Actividad'!$N85*'FE Sectorial'!$H88*'FE Sectorial'!L88/1000/1000</f>
        <v>0</v>
      </c>
      <c r="L89" s="17">
        <f>'Datos Actividad'!$N85*'FE Sectorial'!$H88*'FE Sectorial'!M88/1000/1000</f>
        <v>0</v>
      </c>
      <c r="M89" s="17">
        <f>'Datos Actividad'!$N85*'FE Sectorial'!$H88*'FE Sectorial'!N88/1000/1000</f>
        <v>0</v>
      </c>
      <c r="N89" s="17">
        <f>'Datos Actividad'!$N85*'FE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4313724.0206425209</v>
      </c>
      <c r="I90" s="15">
        <f t="shared" si="21"/>
        <v>77.971266360000016</v>
      </c>
      <c r="J90" s="15">
        <f t="shared" si="21"/>
        <v>7.9202339760000005</v>
      </c>
      <c r="K90" s="15">
        <f t="shared" si="21"/>
        <v>11593.100504000002</v>
      </c>
      <c r="L90" s="15">
        <f t="shared" si="21"/>
        <v>2306.3093668000001</v>
      </c>
      <c r="M90" s="15">
        <f t="shared" si="21"/>
        <v>385.75275380000005</v>
      </c>
      <c r="N90" s="15">
        <f t="shared" si="21"/>
        <v>15.945959999999996</v>
      </c>
      <c r="O90" s="15">
        <f t="shared" si="21"/>
        <v>4317816.6897686413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Actividad'!$N87*'FE Sectorial'!$H90*'FE Sectorial'!I90*'FE Sectorial'!P90/1000</f>
        <v>4283599.2009307211</v>
      </c>
      <c r="I91" s="17">
        <f>'Datos Actividad'!$N87*'FE Sectorial'!$H90*'FE Sectorial'!J90/1000/1000</f>
        <v>76.740192960000016</v>
      </c>
      <c r="J91" s="17">
        <f>'Datos Actividad'!$N87*'FE Sectorial'!$H90*'FE Sectorial'!K90/1000/1000</f>
        <v>7.6740192960000009</v>
      </c>
      <c r="K91" s="17">
        <f>'Datos Actividad'!$N87*'FE Sectorial'!$H90*'FE Sectorial'!L90/1000/1000</f>
        <v>11511.028944000002</v>
      </c>
      <c r="L91" s="17">
        <f>'Datos Actividad'!$N87*'FE Sectorial'!$H90*'FE Sectorial'!M90/1000/1000</f>
        <v>2302.2057888000004</v>
      </c>
      <c r="M91" s="17">
        <f>'Datos Actividad'!$N87*'FE Sectorial'!$H90*'FE Sectorial'!N90/1000/1000</f>
        <v>383.70096480000007</v>
      </c>
      <c r="N91" s="17">
        <f>'Datos Actividad'!$N87*'FE Sectorial'!$H90*'FE Sectorial'!O90/1000/1000</f>
        <v>0</v>
      </c>
      <c r="O91" s="87">
        <f>IF(D91&lt;400,H91+I91*'Factores generales'!$M$41+J91*'Factores generales'!$N$41,I91*'Factores generales'!$M$41+J91*'Factores generales'!$N$41)</f>
        <v>4287589.690964641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Actividad'!$N88*'FE Sectorial'!$H91*'FE Sectorial'!I91*'FE Sectorial'!P91/1000</f>
        <v>29623.317866999991</v>
      </c>
      <c r="I92" s="17">
        <f>'Datos Actividad'!$N88*'FE Sectorial'!$H91*'FE Sectorial'!J91/1000/1000</f>
        <v>1.2114389999999999</v>
      </c>
      <c r="J92" s="17">
        <f>'Datos Actividad'!$N88*'FE Sectorial'!$H91*'FE Sectorial'!K91/1000/1000</f>
        <v>0.24228779999999994</v>
      </c>
      <c r="K92" s="17">
        <f>'Datos Actividad'!$N88*'FE Sectorial'!$H91*'FE Sectorial'!L91/1000/1000</f>
        <v>80.762599999999992</v>
      </c>
      <c r="L92" s="17">
        <f>'Datos Actividad'!$N88*'FE Sectorial'!$H91*'FE Sectorial'!M91/1000/1000</f>
        <v>4.0381299999999998</v>
      </c>
      <c r="M92" s="17">
        <f>'Datos Actividad'!$N88*'FE Sectorial'!$H91*'FE Sectorial'!N91/1000/1000</f>
        <v>2.0190649999999999</v>
      </c>
      <c r="N92" s="17">
        <f>'Datos Actividad'!$N88*'FE Sectorial'!$H91*'FE Sectorial'!O91/1000/1000</f>
        <v>14.649959999999997</v>
      </c>
      <c r="O92" s="87">
        <f>IF(D92&lt;400,H92+I92*'Factores generales'!$M$41+J92*'Factores generales'!$N$41,I92*'Factores generales'!$M$41+J92*'Factores generales'!$N$41)</f>
        <v>29723.867303999992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Actividad'!$N89*'FE Sectorial'!$H92*'FE Sectorial'!I92*'FE Sectorial'!P92/1000</f>
        <v>501.50184480000007</v>
      </c>
      <c r="I93" s="17">
        <f>'Datos Actividad'!$N89*'FE Sectorial'!$H92*'FE Sectorial'!J92/1000/1000</f>
        <v>1.9634400000000003E-2</v>
      </c>
      <c r="J93" s="17">
        <f>'Datos Actividad'!$N89*'FE Sectorial'!$H92*'FE Sectorial'!K92/1000/1000</f>
        <v>3.9268799999999998E-3</v>
      </c>
      <c r="K93" s="17">
        <f>'Datos Actividad'!$N89*'FE Sectorial'!$H92*'FE Sectorial'!L92/1000/1000</f>
        <v>1.3089600000000001</v>
      </c>
      <c r="L93" s="17">
        <f>'Datos Actividad'!$N89*'FE Sectorial'!$H92*'FE Sectorial'!M92/1000/1000</f>
        <v>6.5447999999999992E-2</v>
      </c>
      <c r="M93" s="17">
        <f>'Datos Actividad'!$N89*'FE Sectorial'!$H92*'FE Sectorial'!N92/1000/1000</f>
        <v>3.2723999999999996E-2</v>
      </c>
      <c r="N93" s="17">
        <f>'Datos Actividad'!$N89*'FE Sectorial'!$H92*'FE Sectorial'!O92/1000/1000</f>
        <v>1.296</v>
      </c>
      <c r="O93" s="87">
        <f>IF(D93&lt;400,H93+I93*'Factores generales'!$M$41+J93*'Factores generales'!$N$41,I93*'Factores generales'!$M$41+J93*'Factores generales'!$N$41)</f>
        <v>503.13150000000007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1943723.6905948657</v>
      </c>
      <c r="I94" s="15">
        <f t="shared" ref="I94:O94" si="22">SUM(I95:I100)</f>
        <v>53.206053082203198</v>
      </c>
      <c r="J94" s="15">
        <f t="shared" si="22"/>
        <v>9.0304956514497867</v>
      </c>
      <c r="K94" s="15">
        <f t="shared" si="22"/>
        <v>4889.3326763059249</v>
      </c>
      <c r="L94" s="15">
        <f t="shared" si="22"/>
        <v>606.87750093823831</v>
      </c>
      <c r="M94" s="15">
        <f t="shared" si="22"/>
        <v>142.36725397003377</v>
      </c>
      <c r="N94" s="15">
        <f t="shared" si="22"/>
        <v>2019.1296698787478</v>
      </c>
      <c r="O94" s="15">
        <f t="shared" si="22"/>
        <v>1947640.4713615414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Actividad'!$N91*'FE Sectorial'!$H94*'FE Sectorial'!I94*'FE Sectorial'!P94/1000</f>
        <v>0</v>
      </c>
      <c r="I95" s="17">
        <f>'Datos Actividad'!$N91*'FE Sectorial'!$H94*'FE Sectorial'!J94/1000/1000</f>
        <v>0</v>
      </c>
      <c r="J95" s="17">
        <f>'Datos Actividad'!$N91*'FE Sectorial'!$H94*'FE Sectorial'!K94/1000/1000</f>
        <v>0</v>
      </c>
      <c r="K95" s="17">
        <f>'Datos Actividad'!$N91*'FE Sectorial'!$H94*'FE Sectorial'!L94/1000/1000</f>
        <v>0</v>
      </c>
      <c r="L95" s="17">
        <f>'Datos Actividad'!$N91*'FE Sectorial'!$H94*'FE Sectorial'!M94/1000/1000</f>
        <v>0</v>
      </c>
      <c r="M95" s="17">
        <f>'Datos Actividad'!$N91*'FE Sectorial'!$H94*'FE Sectorial'!N94/1000/1000</f>
        <v>0</v>
      </c>
      <c r="N95" s="17">
        <f>'Datos Actividad'!$N91*'FE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Actividad'!$N92*'FE Sectorial'!$H95*'FE Sectorial'!I95*'FE Sectorial'!P95/1000</f>
        <v>1006197.5314801363</v>
      </c>
      <c r="I96" s="17">
        <f>'Datos Actividad'!$N92*'FE Sectorial'!$H95*'FE Sectorial'!J95/1000/1000</f>
        <v>16.107149649908536</v>
      </c>
      <c r="J96" s="17">
        <f>'Datos Actividad'!$N92*'FE Sectorial'!$H95*'FE Sectorial'!K95/1000/1000</f>
        <v>1.6107149649908536</v>
      </c>
      <c r="K96" s="17">
        <f>'Datos Actividad'!$N92*'FE Sectorial'!$H95*'FE Sectorial'!L95/1000/1000</f>
        <v>2416.0724474862805</v>
      </c>
      <c r="L96" s="17">
        <f>'Datos Actividad'!$N92*'FE Sectorial'!$H95*'FE Sectorial'!M95/1000/1000</f>
        <v>483.21448949725607</v>
      </c>
      <c r="M96" s="17">
        <f>'Datos Actividad'!$N92*'FE Sectorial'!$H95*'FE Sectorial'!N95/1000/1000</f>
        <v>80.535748249542678</v>
      </c>
      <c r="N96" s="17">
        <f>'Datos Actividad'!$N92*'FE Sectorial'!$H95*'FE Sectorial'!O95/1000/1000</f>
        <v>68.106341014412422</v>
      </c>
      <c r="O96" s="87">
        <f>IF(D96&lt;400,H96+I96*'Factores generales'!$M$41+J96*'Factores generales'!$N$41,I96*'Factores generales'!$M$41+J96*'Factores generales'!$N$41)</f>
        <v>1007035.1032619316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Actividad'!$N93*'FE Sectorial'!$H96*'FE Sectorial'!I96*'FE Sectorial'!P96/1000</f>
        <v>225758.72647058775</v>
      </c>
      <c r="I97" s="17">
        <f>'Datos Actividad'!$N93*'FE Sectorial'!$H96*'FE Sectorial'!J96/1000/1000</f>
        <v>9.2323529411764529</v>
      </c>
      <c r="J97" s="17">
        <f>'Datos Actividad'!$N93*'FE Sectorial'!$H96*'FE Sectorial'!K96/1000/1000</f>
        <v>1.8464705882352903</v>
      </c>
      <c r="K97" s="17">
        <f>'Datos Actividad'!$N93*'FE Sectorial'!$H96*'FE Sectorial'!L96/1000/1000</f>
        <v>615.49019607843013</v>
      </c>
      <c r="L97" s="17">
        <f>'Datos Actividad'!$N93*'FE Sectorial'!$H96*'FE Sectorial'!M96/1000/1000</f>
        <v>30.774509803921504</v>
      </c>
      <c r="M97" s="17">
        <f>'Datos Actividad'!$N93*'FE Sectorial'!$H96*'FE Sectorial'!N96/1000/1000</f>
        <v>15.387254901960752</v>
      </c>
      <c r="N97" s="17">
        <f>'Datos Actividad'!$N93*'FE Sectorial'!$H96*'FE Sectorial'!O96/1000/1000</f>
        <v>111.64705882352918</v>
      </c>
      <c r="O97" s="87">
        <f>IF(D97&lt;400,H97+I97*'Factores generales'!$M$41+J97*'Factores generales'!$N$41,I97*'Factores generales'!$M$41+J97*'Factores generales'!$N$41)</f>
        <v>226525.01176470538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Actividad'!$N94*'FE Sectorial'!$H97*'FE Sectorial'!I97*'FE Sectorial'!P97/1000</f>
        <v>711767.43264414161</v>
      </c>
      <c r="I98" s="17">
        <f>'Datos Actividad'!$N94*'FE Sectorial'!$H97*'FE Sectorial'!J97/1000/1000</f>
        <v>27.866550491118215</v>
      </c>
      <c r="J98" s="17">
        <f>'Datos Actividad'!$N94*'FE Sectorial'!$H97*'FE Sectorial'!K97/1000/1000</f>
        <v>5.5733100982236428</v>
      </c>
      <c r="K98" s="17">
        <f>'Datos Actividad'!$N94*'FE Sectorial'!$H97*'FE Sectorial'!L97/1000/1000</f>
        <v>1857.7700327412144</v>
      </c>
      <c r="L98" s="17">
        <f>'Datos Actividad'!$N94*'FE Sectorial'!$H97*'FE Sectorial'!M97/1000/1000</f>
        <v>92.888501637060713</v>
      </c>
      <c r="M98" s="17">
        <f>'Datos Actividad'!$N94*'FE Sectorial'!$H97*'FE Sectorial'!N97/1000/1000</f>
        <v>46.444250818530357</v>
      </c>
      <c r="N98" s="17">
        <f>'Datos Actividad'!$N94*'FE Sectorial'!$H97*'FE Sectorial'!O97/1000/1000</f>
        <v>1839.3762700408063</v>
      </c>
      <c r="O98" s="87">
        <f>IF(D98&lt;400,H98+I98*'Factores generales'!$M$41+J98*'Factores generales'!$N$41,I98*'Factores generales'!$M$41+J98*'Factores generales'!$N$41)</f>
        <v>714080.35633490444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Actividad'!$N95*'FE Sectorial'!$H98*'FE Sectorial'!I98*'FE Sectorial'!P98/1000</f>
        <v>0</v>
      </c>
      <c r="I99" s="17">
        <f>'Datos Actividad'!$N95*'FE Sectorial'!$H98*'FE Sectorial'!J98/1000/1000</f>
        <v>0</v>
      </c>
      <c r="J99" s="17">
        <f>'Datos Actividad'!$N95*'FE Sectorial'!$H98*'FE Sectorial'!K98/1000/1000</f>
        <v>0</v>
      </c>
      <c r="K99" s="17">
        <f>'Datos Actividad'!$N95*'FE Sectorial'!$H98*'FE Sectorial'!L98/1000/1000</f>
        <v>0</v>
      </c>
      <c r="L99" s="17">
        <f>'Datos Actividad'!$N95*'FE Sectorial'!$H98*'FE Sectorial'!M98/1000/1000</f>
        <v>0</v>
      </c>
      <c r="M99" s="17">
        <f>'Datos Actividad'!$N95*'FE Sectorial'!$H98*'FE Sectorial'!N98/1000/1000</f>
        <v>0</v>
      </c>
      <c r="N99" s="17">
        <f>'Datos Actividad'!$N95*'FE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Actividad'!$N96*'FE Sectorial'!$H99*'FE Sectorial'!I99*'FE Sectorial'!P99/1000</f>
        <v>0</v>
      </c>
      <c r="I100" s="17">
        <f>'Datos Actividad'!$N96*'FE Sectorial'!$H99*'FE Sectorial'!J99/1000/1000</f>
        <v>0</v>
      </c>
      <c r="J100" s="17">
        <f>'Datos Actividad'!$N96*'FE Sectorial'!$H99*'FE Sectorial'!K99/1000/1000</f>
        <v>0</v>
      </c>
      <c r="K100" s="17">
        <f>'Datos Actividad'!$N96*'FE Sectorial'!$H99*'FE Sectorial'!L99/1000/1000</f>
        <v>0</v>
      </c>
      <c r="L100" s="17">
        <f>'Datos Actividad'!$N96*'FE Sectorial'!$H99*'FE Sectorial'!M99/1000/1000</f>
        <v>0</v>
      </c>
      <c r="M100" s="17">
        <f>'Datos Actividad'!$N96*'FE Sectorial'!$H99*'FE Sectorial'!N99/1000/1000</f>
        <v>0</v>
      </c>
      <c r="N100" s="17">
        <f>'Datos Actividad'!$N96*'FE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39165307.334574305</v>
      </c>
      <c r="I101" s="129">
        <f t="shared" si="23"/>
        <v>14258.251208328562</v>
      </c>
      <c r="J101" s="129">
        <f t="shared" si="23"/>
        <v>2576.1994878198889</v>
      </c>
      <c r="K101" s="129">
        <f t="shared" si="23"/>
        <v>380597.05220891436</v>
      </c>
      <c r="L101" s="129">
        <f t="shared" si="23"/>
        <v>1424768.8894762183</v>
      </c>
      <c r="M101" s="129">
        <f t="shared" si="23"/>
        <v>263785.66109629598</v>
      </c>
      <c r="N101" s="129">
        <f t="shared" si="23"/>
        <v>11507.847758644022</v>
      </c>
      <c r="O101" s="129">
        <f t="shared" si="23"/>
        <v>40263352.451173373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1119526.1958240361</v>
      </c>
      <c r="I102" s="134">
        <f t="shared" ref="I102:O102" si="24">I105</f>
        <v>7.9079338548000004</v>
      </c>
      <c r="J102" s="134">
        <f t="shared" si="24"/>
        <v>31.631735419200002</v>
      </c>
      <c r="K102" s="134">
        <f t="shared" si="24"/>
        <v>3953.9669274000003</v>
      </c>
      <c r="L102" s="134">
        <f t="shared" si="24"/>
        <v>1581.5867709600002</v>
      </c>
      <c r="M102" s="134">
        <f t="shared" si="24"/>
        <v>790.7933854800001</v>
      </c>
      <c r="N102" s="134">
        <f t="shared" si="24"/>
        <v>717.27291200000002</v>
      </c>
      <c r="O102" s="134">
        <f t="shared" si="24"/>
        <v>1129498.100414939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2277688.4890119364</v>
      </c>
      <c r="I103" s="15">
        <f t="shared" ref="I103:O103" si="25">I104</f>
        <v>16.088779324800001</v>
      </c>
      <c r="J103" s="15">
        <f t="shared" si="25"/>
        <v>64.355117299200003</v>
      </c>
      <c r="K103" s="15">
        <f t="shared" si="25"/>
        <v>8044.3896624000008</v>
      </c>
      <c r="L103" s="15">
        <f t="shared" si="25"/>
        <v>3217.7558649600005</v>
      </c>
      <c r="M103" s="15">
        <f t="shared" si="25"/>
        <v>1608.8779324800003</v>
      </c>
      <c r="N103" s="15">
        <f t="shared" si="25"/>
        <v>1459.299712</v>
      </c>
      <c r="O103" s="15">
        <f t="shared" si="25"/>
        <v>2297976.4397405093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Actividad'!$N100*'FE Sectorial'!$H103*'FE Sectorial'!I103*'FE Sectorial'!P103/1000</f>
        <v>2277688.4890119364</v>
      </c>
      <c r="I104" s="17">
        <f>'Datos Actividad'!$N100*'FE Sectorial'!$H103*'FE Sectorial'!J103/1000/1000</f>
        <v>16.088779324800001</v>
      </c>
      <c r="J104" s="17">
        <f>'Datos Actividad'!$N100*'FE Sectorial'!$H103*'FE Sectorial'!K103/1000/1000</f>
        <v>64.355117299200003</v>
      </c>
      <c r="K104" s="17">
        <f>'Datos Actividad'!$N100*'FE Sectorial'!$H103*'FE Sectorial'!L103/1000/1000</f>
        <v>8044.3896624000008</v>
      </c>
      <c r="L104" s="17">
        <f>'Datos Actividad'!$N100*'FE Sectorial'!$H103*'FE Sectorial'!M103/1000/1000</f>
        <v>3217.7558649600005</v>
      </c>
      <c r="M104" s="17">
        <f>'Datos Actividad'!$N100*'FE Sectorial'!$H103*'FE Sectorial'!N103/1000/1000</f>
        <v>1608.8779324800003</v>
      </c>
      <c r="N104" s="17">
        <f>'Datos Actividad'!$N100*'FE Sectorial'!$H103*'FE Sectorial'!O103/1000/1000</f>
        <v>1459.299712</v>
      </c>
      <c r="O104" s="87">
        <f>IF(D104&lt;400,H104+I104*'Factores generales'!$M$41+J104*'Factores generales'!$N$41,I104*'Factores generales'!$M$41+J104*'Factores generales'!$N$41)</f>
        <v>2297976.4397405093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1119526.1958240361</v>
      </c>
      <c r="I105" s="15">
        <f t="shared" ref="I105:O105" si="26">I106</f>
        <v>7.9079338548000004</v>
      </c>
      <c r="J105" s="15">
        <f t="shared" si="26"/>
        <v>31.631735419200002</v>
      </c>
      <c r="K105" s="15">
        <f t="shared" si="26"/>
        <v>3953.9669274000003</v>
      </c>
      <c r="L105" s="15">
        <f t="shared" si="26"/>
        <v>1581.5867709600002</v>
      </c>
      <c r="M105" s="15">
        <f t="shared" si="26"/>
        <v>790.7933854800001</v>
      </c>
      <c r="N105" s="15">
        <f t="shared" si="26"/>
        <v>717.27291200000002</v>
      </c>
      <c r="O105" s="15">
        <f t="shared" si="26"/>
        <v>1129498.100414939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Actividad'!$N102*'FE Sectorial'!$H105*'FE Sectorial'!I105*'FE Sectorial'!P105/1000</f>
        <v>1119526.1958240361</v>
      </c>
      <c r="I106" s="17">
        <f>'Datos Actividad'!$N102*'FE Sectorial'!$H105*'FE Sectorial'!J105/1000/1000</f>
        <v>7.9079338548000004</v>
      </c>
      <c r="J106" s="17">
        <f>'Datos Actividad'!$N102*'FE Sectorial'!$H105*'FE Sectorial'!K105/1000/1000</f>
        <v>31.631735419200002</v>
      </c>
      <c r="K106" s="17">
        <f>'Datos Actividad'!$N102*'FE Sectorial'!$H105*'FE Sectorial'!L105/1000/1000</f>
        <v>3953.9669274000003</v>
      </c>
      <c r="L106" s="17">
        <f>'Datos Actividad'!$N102*'FE Sectorial'!$H105*'FE Sectorial'!M105/1000/1000</f>
        <v>1581.5867709600002</v>
      </c>
      <c r="M106" s="17">
        <f>'Datos Actividad'!$N102*'FE Sectorial'!$H105*'FE Sectorial'!N105/1000/1000</f>
        <v>790.7933854800001</v>
      </c>
      <c r="N106" s="17">
        <f>'Datos Actividad'!$N102*'FE Sectorial'!$H105*'FE Sectorial'!O105/1000/1000</f>
        <v>717.27291200000002</v>
      </c>
      <c r="O106" s="87">
        <f>IF(D106&lt;400,H106+I106*'Factores generales'!$M$41+J106*'Factores generales'!$N$41,I106*'Factores generales'!$M$41+J106*'Factores generales'!$N$41)</f>
        <v>1129498.100414939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35130540.630302779</v>
      </c>
      <c r="I107" s="134">
        <f t="shared" si="27"/>
        <v>14170.46340259022</v>
      </c>
      <c r="J107" s="134">
        <f t="shared" si="27"/>
        <v>2472.0150753161533</v>
      </c>
      <c r="K107" s="134">
        <f t="shared" si="27"/>
        <v>361732.79054417287</v>
      </c>
      <c r="L107" s="134">
        <f t="shared" si="27"/>
        <v>1416373.1375254032</v>
      </c>
      <c r="M107" s="134">
        <f t="shared" si="27"/>
        <v>261587.65501864496</v>
      </c>
      <c r="N107" s="134">
        <f t="shared" si="27"/>
        <v>10411.885413946942</v>
      </c>
      <c r="O107" s="134">
        <f t="shared" si="27"/>
        <v>36194445.035105184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32958869.046928067</v>
      </c>
      <c r="I108" s="15">
        <f t="shared" ref="I108:O108" si="28">I109+I110+I111+I112+I113</f>
        <v>14055.010367854722</v>
      </c>
      <c r="J108" s="15">
        <f t="shared" si="28"/>
        <v>2356.5620405806558</v>
      </c>
      <c r="K108" s="15">
        <f t="shared" si="28"/>
        <v>338050.11675227591</v>
      </c>
      <c r="L108" s="15">
        <f t="shared" si="28"/>
        <v>1386769.795285532</v>
      </c>
      <c r="M108" s="15">
        <f t="shared" si="28"/>
        <v>255666.98657067071</v>
      </c>
      <c r="N108" s="15">
        <f t="shared" si="28"/>
        <v>9337.9036954771946</v>
      </c>
      <c r="O108" s="15">
        <f t="shared" si="28"/>
        <v>33984558.497233018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Actividad'!$N105*'FE Sectorial'!$H108*'FE Sectorial'!I108*'FE Sectorial'!P108/1000</f>
        <v>5865010.1388085689</v>
      </c>
      <c r="I109" s="17">
        <f>'Datos Actividad'!$N105*'FE Sectorial'!$H108*'FE Sectorial'!J108/1000/1000</f>
        <v>9666.531100608001</v>
      </c>
      <c r="J109" s="17">
        <f>'Datos Actividad'!$N105*'FE Sectorial'!$H108*'FE Sectorial'!K108/1000/1000</f>
        <v>315.21297067200004</v>
      </c>
      <c r="K109" s="17">
        <f>'Datos Actividad'!$N105*'FE Sectorial'!$H108*'FE Sectorial'!L108/1000/1000</f>
        <v>63042.594134400002</v>
      </c>
      <c r="L109" s="17">
        <f>'Datos Actividad'!$N105*'FE Sectorial'!$H108*'FE Sectorial'!M108/1000/1000</f>
        <v>42028.396089600006</v>
      </c>
      <c r="M109" s="17">
        <f>'Datos Actividad'!$N105*'FE Sectorial'!$H108*'FE Sectorial'!N108/1000/1000</f>
        <v>525.35495112000001</v>
      </c>
      <c r="N109" s="17">
        <f>'Datos Actividad'!$N105*'FE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6165723.3128296575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Actividad'!$N106*'FE Sectorial'!$H109*'FE Sectorial'!I109*'FE Sectorial'!P109/1000</f>
        <v>17621531.764074042</v>
      </c>
      <c r="I110" s="17">
        <f>'Datos Actividad'!$N106*'FE Sectorial'!$H109*'FE Sectorial'!J109/1000/1000</f>
        <v>936.81721233780127</v>
      </c>
      <c r="J110" s="17">
        <f>'Datos Actividad'!$N106*'FE Sectorial'!$H109*'FE Sectorial'!K109/1000/1000</f>
        <v>936.81721233780127</v>
      </c>
      <c r="K110" s="17">
        <f>'Datos Actividad'!$N106*'FE Sectorial'!$H109*'FE Sectorial'!L109/1000/1000</f>
        <v>192167.6333000618</v>
      </c>
      <c r="L110" s="17">
        <f>'Datos Actividad'!$N106*'FE Sectorial'!$H109*'FE Sectorial'!M109/1000/1000</f>
        <v>240209.54162507725</v>
      </c>
      <c r="M110" s="17">
        <f>'Datos Actividad'!$N106*'FE Sectorial'!$H109*'FE Sectorial'!N109/1000/1000</f>
        <v>48041.908325015451</v>
      </c>
      <c r="N110" s="17">
        <f>'Datos Actividad'!$N106*'FE Sectorial'!$H109*'FE Sectorial'!O109/1000/1000</f>
        <v>8714.5787194214081</v>
      </c>
      <c r="O110" s="87">
        <f>IF(D110&lt;400,H110+I110*'Factores generales'!$M$41+J110*'Factores generales'!$N$41,I110*'Factores generales'!$M$41+J110*'Factores generales'!$N$41)</f>
        <v>17931618.261357851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Actividad'!$N107*'FE Sectorial'!$H110*'FE Sectorial'!I110*'FE Sectorial'!P110/1000</f>
        <v>9472327.1440454535</v>
      </c>
      <c r="I111" s="17">
        <f>'Datos Actividad'!$N107*'FE Sectorial'!$H110*'FE Sectorial'!J110/1000/1000</f>
        <v>3451.6620549089207</v>
      </c>
      <c r="J111" s="17">
        <f>'Datos Actividad'!$N107*'FE Sectorial'!$H110*'FE Sectorial'!K110/1000/1000</f>
        <v>1104.5318575708548</v>
      </c>
      <c r="K111" s="17">
        <f>'Datos Actividad'!$N107*'FE Sectorial'!$H110*'FE Sectorial'!L110/1000/1000</f>
        <v>82839.889317814101</v>
      </c>
      <c r="L111" s="17">
        <f>'Datos Actividad'!$N107*'FE Sectorial'!$H110*'FE Sectorial'!M110/1000/1000</f>
        <v>1104531.8575708547</v>
      </c>
      <c r="M111" s="17">
        <f>'Datos Actividad'!$N107*'FE Sectorial'!$H110*'FE Sectorial'!N110/1000/1000</f>
        <v>207099.72329453524</v>
      </c>
      <c r="N111" s="17">
        <f>'Datos Actividad'!$N107*'FE Sectorial'!$H110*'FE Sectorial'!O110/1000/1000</f>
        <v>623.32497605578703</v>
      </c>
      <c r="O111" s="87">
        <f>IF(D111&lt;400,H111+I111*'Factores generales'!$M$41+J111*'Factores generales'!$N$41,I111*'Factores generales'!$M$41+J111*'Factores generales'!$N$41)</f>
        <v>9887216.9230455067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Actividad'!$N108*'FE Sectorial'!$H111*'FE Sectorial'!I111*'FE Sectorial'!P111/1000</f>
        <v>0</v>
      </c>
      <c r="I112" s="17">
        <f>'Datos Actividad'!$N108*'FE Sectorial'!$H111*'FE Sectorial'!J111/1000/1000</f>
        <v>0</v>
      </c>
      <c r="J112" s="17">
        <f>'Datos Actividad'!$N108*'FE Sectorial'!$H111*'FE Sectorial'!K111/1000/1000</f>
        <v>0</v>
      </c>
      <c r="K112" s="17">
        <f>'Datos Actividad'!$N108*'FE Sectorial'!$H111*'FE Sectorial'!L111/1000/1000</f>
        <v>0</v>
      </c>
      <c r="L112" s="17">
        <f>'Datos Actividad'!$N108*'FE Sectorial'!$H111*'FE Sectorial'!M111/1000/1000</f>
        <v>0</v>
      </c>
      <c r="M112" s="17">
        <f>'Datos Actividad'!$N108*'FE Sectorial'!$H111*'FE Sectorial'!N111/1000/1000</f>
        <v>0</v>
      </c>
      <c r="N112" s="17">
        <f>'Datos Actividad'!$N108*'FE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Actividad'!$N109*'FE Sectorial'!$H112*'FE Sectorial'!I112*'FE Sectorial'!P112/1000</f>
        <v>0</v>
      </c>
      <c r="I113" s="17">
        <f>'Datos Actividad'!$N109*'FE Sectorial'!$H112*'FE Sectorial'!J112/1000/1000</f>
        <v>0</v>
      </c>
      <c r="J113" s="17">
        <f>'Datos Actividad'!$N109*'FE Sectorial'!$H112*'FE Sectorial'!K112/1000/1000</f>
        <v>0</v>
      </c>
      <c r="K113" s="17">
        <f>'Datos Actividad'!$N109*'FE Sectorial'!$H112*'FE Sectorial'!L112/1000/1000</f>
        <v>0</v>
      </c>
      <c r="L113" s="17">
        <f>'Datos Actividad'!$N109*'FE Sectorial'!$H112*'FE Sectorial'!M112/1000/1000</f>
        <v>0</v>
      </c>
      <c r="M113" s="17">
        <f>'Datos Actividad'!$N109*'FE Sectorial'!$H112*'FE Sectorial'!N112/1000/1000</f>
        <v>0</v>
      </c>
      <c r="N113" s="17">
        <f>'Datos Actividad'!$N109*'FE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2171671.5833747131</v>
      </c>
      <c r="I114" s="15">
        <f t="shared" ref="I114:O114" si="29">I115</f>
        <v>115.45303473549778</v>
      </c>
      <c r="J114" s="15">
        <f t="shared" si="29"/>
        <v>115.45303473549778</v>
      </c>
      <c r="K114" s="15">
        <f t="shared" si="29"/>
        <v>23682.673791896985</v>
      </c>
      <c r="L114" s="15">
        <f t="shared" si="29"/>
        <v>29603.342239871228</v>
      </c>
      <c r="M114" s="15">
        <f t="shared" si="29"/>
        <v>5920.6684479742462</v>
      </c>
      <c r="N114" s="15">
        <f t="shared" si="29"/>
        <v>1073.9817184697472</v>
      </c>
      <c r="O114" s="15">
        <f t="shared" si="29"/>
        <v>2209886.5378721631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Actividad'!$N111*'FE Sectorial'!$H114*'FE Sectorial'!I114*'FE Sectorial'!P114/1000</f>
        <v>2171671.5833747131</v>
      </c>
      <c r="I115" s="17">
        <f>'Datos Actividad'!$N111*'FE Sectorial'!$H114*'FE Sectorial'!J114/1000/1000</f>
        <v>115.45303473549778</v>
      </c>
      <c r="J115" s="17">
        <f>'Datos Actividad'!$N111*'FE Sectorial'!$H114*'FE Sectorial'!K114/1000/1000</f>
        <v>115.45303473549778</v>
      </c>
      <c r="K115" s="17">
        <f>'Datos Actividad'!$N111*'FE Sectorial'!$H114*'FE Sectorial'!L114/1000/1000</f>
        <v>23682.673791896985</v>
      </c>
      <c r="L115" s="17">
        <f>'Datos Actividad'!$N111*'FE Sectorial'!$H114*'FE Sectorial'!M114/1000/1000</f>
        <v>29603.342239871228</v>
      </c>
      <c r="M115" s="17">
        <f>'Datos Actividad'!$N111*'FE Sectorial'!$H114*'FE Sectorial'!N114/1000/1000</f>
        <v>5920.6684479742462</v>
      </c>
      <c r="N115" s="17">
        <f>'Datos Actividad'!$N111*'FE Sectorial'!$H114*'FE Sectorial'!O114/1000/1000</f>
        <v>1073.9817184697472</v>
      </c>
      <c r="O115" s="87">
        <f>IF(D115&lt;400,H115+I115*'Factores generales'!$M$41+J115*'Factores generales'!$N$41,I115*'Factores generales'!$M$41+J115*'Factores generales'!$N$41)</f>
        <v>2209886.5378721631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155118.51367014719</v>
      </c>
      <c r="I116" s="134">
        <f t="shared" ref="I116:O116" si="30">I117</f>
        <v>8.775226376192574</v>
      </c>
      <c r="J116" s="134">
        <f t="shared" si="30"/>
        <v>60.475054062435561</v>
      </c>
      <c r="K116" s="134">
        <f t="shared" si="30"/>
        <v>2537.4148557665276</v>
      </c>
      <c r="L116" s="134">
        <f t="shared" si="30"/>
        <v>2114.5123798054392</v>
      </c>
      <c r="M116" s="134">
        <f t="shared" si="30"/>
        <v>422.90247596108782</v>
      </c>
      <c r="N116" s="134">
        <f t="shared" si="30"/>
        <v>76.712542151081053</v>
      </c>
      <c r="O116" s="134">
        <f t="shared" si="30"/>
        <v>174050.06018340227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Actividad'!$N113*'FE Sectorial'!$H116*'FE Sectorial'!I116*'FE Sectorial'!P116/1000</f>
        <v>155118.51367014719</v>
      </c>
      <c r="I117" s="17">
        <f>'Datos Actividad'!$N113*'FE Sectorial'!$H116*'FE Sectorial'!J116/1000/1000</f>
        <v>8.775226376192574</v>
      </c>
      <c r="J117" s="17">
        <f>'Datos Actividad'!$N113*'FE Sectorial'!$H116*'FE Sectorial'!K116/1000/1000</f>
        <v>60.475054062435561</v>
      </c>
      <c r="K117" s="17">
        <f>'Datos Actividad'!$N113*'FE Sectorial'!$H116*'FE Sectorial'!L116/1000/1000</f>
        <v>2537.4148557665276</v>
      </c>
      <c r="L117" s="17">
        <f>'Datos Actividad'!$N113*'FE Sectorial'!$H116*'FE Sectorial'!M116/1000/1000</f>
        <v>2114.5123798054392</v>
      </c>
      <c r="M117" s="17">
        <f>'Datos Actividad'!$N113*'FE Sectorial'!$H116*'FE Sectorial'!N116/1000/1000</f>
        <v>422.90247596108782</v>
      </c>
      <c r="N117" s="17">
        <f>'Datos Actividad'!$N113*'FE Sectorial'!$H116*'FE Sectorial'!O116/1000/1000</f>
        <v>76.712542151081053</v>
      </c>
      <c r="O117" s="87">
        <f>IF(D117&lt;400,H117+I117*'Factores generales'!$M$41+J117*'Factores generales'!$N$41,I117*'Factores generales'!$M$41+J117*'Factores generales'!$N$41)</f>
        <v>174050.06018340227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282992.42492393887</v>
      </c>
      <c r="I118" s="134">
        <f t="shared" ref="I118:O118" si="31">I122</f>
        <v>26.690460307349994</v>
      </c>
      <c r="J118" s="134">
        <f t="shared" si="31"/>
        <v>7.6258458020999988</v>
      </c>
      <c r="K118" s="134">
        <f t="shared" si="31"/>
        <v>5719.3843515749995</v>
      </c>
      <c r="L118" s="134">
        <f t="shared" si="31"/>
        <v>3812.9229010499998</v>
      </c>
      <c r="M118" s="134">
        <f t="shared" si="31"/>
        <v>762.5845802099999</v>
      </c>
      <c r="N118" s="134">
        <f t="shared" si="31"/>
        <v>300.72421054599999</v>
      </c>
      <c r="O118" s="134">
        <f t="shared" si="31"/>
        <v>285916.93678904424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1562804.9230340249</v>
      </c>
      <c r="I119" s="15">
        <f t="shared" ref="I119:O119" si="32">I120+I121</f>
        <v>144.70755582499999</v>
      </c>
      <c r="J119" s="15">
        <f t="shared" si="32"/>
        <v>41.345015950000004</v>
      </c>
      <c r="K119" s="15">
        <f t="shared" si="32"/>
        <v>31008.761962500001</v>
      </c>
      <c r="L119" s="15">
        <f t="shared" si="32"/>
        <v>20672.507975</v>
      </c>
      <c r="M119" s="15">
        <f t="shared" si="32"/>
        <v>4134.5015950000006</v>
      </c>
      <c r="N119" s="15">
        <f t="shared" si="32"/>
        <v>3041.6980270000004</v>
      </c>
      <c r="O119" s="15">
        <f t="shared" si="32"/>
        <v>1578660.7366508499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Actividad'!$N116*'FE Sectorial'!$H119*'FE Sectorial'!I119*'FE Sectorial'!P119/1000</f>
        <v>477084.38594602491</v>
      </c>
      <c r="I120" s="17">
        <f>'Datos Actividad'!$N116*'FE Sectorial'!$H119*'FE Sectorial'!J119/1000/1000</f>
        <v>45.523939824999992</v>
      </c>
      <c r="J120" s="17">
        <f>'Datos Actividad'!$N116*'FE Sectorial'!$H119*'FE Sectorial'!K119/1000/1000</f>
        <v>13.00683995</v>
      </c>
      <c r="K120" s="17">
        <f>'Datos Actividad'!$N116*'FE Sectorial'!$H119*'FE Sectorial'!L119/1000/1000</f>
        <v>9755.1299625000011</v>
      </c>
      <c r="L120" s="17">
        <f>'Datos Actividad'!$N116*'FE Sectorial'!$H119*'FE Sectorial'!M119/1000/1000</f>
        <v>6503.4199749999998</v>
      </c>
      <c r="M120" s="17">
        <f>'Datos Actividad'!$N116*'FE Sectorial'!$H119*'FE Sectorial'!N119/1000/1000</f>
        <v>1300.6839950000001</v>
      </c>
      <c r="N120" s="17">
        <f>'Datos Actividad'!$N116*'FE Sectorial'!$H119*'FE Sectorial'!O119/1000/1000</f>
        <v>235.93802700000001</v>
      </c>
      <c r="O120" s="87">
        <f>IF(D120&lt;400,H120+I120*'Factores generales'!$M$41+J120*'Factores generales'!$N$41,I120*'Factores generales'!$M$41+J120*'Factores generales'!$N$41)</f>
        <v>482072.50906684995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Actividad'!$N117*'FE Sectorial'!$H120*'FE Sectorial'!I120*'FE Sectorial'!P120/1000</f>
        <v>1085720.537088</v>
      </c>
      <c r="I121" s="17">
        <f>'Datos Actividad'!$N117*'FE Sectorial'!$H120*'FE Sectorial'!J120/1000/1000</f>
        <v>99.183616000000001</v>
      </c>
      <c r="J121" s="17">
        <f>'Datos Actividad'!$N117*'FE Sectorial'!$H120*'FE Sectorial'!K120/1000/1000</f>
        <v>28.338176000000001</v>
      </c>
      <c r="K121" s="17">
        <f>'Datos Actividad'!$N117*'FE Sectorial'!$H120*'FE Sectorial'!L120/1000/1000</f>
        <v>21253.632000000001</v>
      </c>
      <c r="L121" s="17">
        <f>'Datos Actividad'!$N117*'FE Sectorial'!$H120*'FE Sectorial'!M120/1000/1000</f>
        <v>14169.088</v>
      </c>
      <c r="M121" s="17">
        <f>'Datos Actividad'!$N117*'FE Sectorial'!$H120*'FE Sectorial'!N120/1000/1000</f>
        <v>2833.8176000000003</v>
      </c>
      <c r="N121" s="17">
        <f>'Datos Actividad'!$N117*'FE Sectorial'!$H120*'FE Sectorial'!O120/1000/1000</f>
        <v>2805.76</v>
      </c>
      <c r="O121" s="87">
        <f>IF(D121&lt;400,H121+I121*'Factores generales'!$M$41+J121*'Factores generales'!$N$41,I121*'Factores generales'!$M$41+J121*'Factores generales'!$N$41)</f>
        <v>1096588.227584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282992.42492393887</v>
      </c>
      <c r="I122" s="15">
        <f t="shared" ref="I122:O122" si="33">I123+I124</f>
        <v>26.690460307349994</v>
      </c>
      <c r="J122" s="15">
        <f t="shared" si="33"/>
        <v>7.6258458020999988</v>
      </c>
      <c r="K122" s="15">
        <f t="shared" si="33"/>
        <v>5719.3843515749995</v>
      </c>
      <c r="L122" s="15">
        <f t="shared" si="33"/>
        <v>3812.9229010499998</v>
      </c>
      <c r="M122" s="15">
        <f t="shared" si="33"/>
        <v>762.5845802099999</v>
      </c>
      <c r="N122" s="15">
        <f t="shared" si="33"/>
        <v>300.72421054599999</v>
      </c>
      <c r="O122" s="15">
        <f t="shared" si="33"/>
        <v>285916.93678904424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Actividad'!$N119*'FE Sectorial'!$H122*'FE Sectorial'!I122*'FE Sectorial'!P122/1000</f>
        <v>206056.50064580288</v>
      </c>
      <c r="I123" s="17">
        <f>'Datos Actividad'!$N119*'FE Sectorial'!$H122*'FE Sectorial'!J122/1000/1000</f>
        <v>19.662147855349996</v>
      </c>
      <c r="J123" s="17">
        <f>'Datos Actividad'!$N119*'FE Sectorial'!$H122*'FE Sectorial'!K122/1000/1000</f>
        <v>5.6177565300999994</v>
      </c>
      <c r="K123" s="17">
        <f>'Datos Actividad'!$N119*'FE Sectorial'!$H122*'FE Sectorial'!L122/1000/1000</f>
        <v>4213.3173975749996</v>
      </c>
      <c r="L123" s="17">
        <f>'Datos Actividad'!$N119*'FE Sectorial'!$H122*'FE Sectorial'!M122/1000/1000</f>
        <v>2808.8782650499998</v>
      </c>
      <c r="M123" s="17">
        <f>'Datos Actividad'!$N119*'FE Sectorial'!$H122*'FE Sectorial'!N122/1000/1000</f>
        <v>561.77565300999993</v>
      </c>
      <c r="N123" s="17">
        <f>'Datos Actividad'!$N119*'FE Sectorial'!$H122*'FE Sectorial'!O122/1000/1000</f>
        <v>101.90349054599999</v>
      </c>
      <c r="O123" s="87">
        <f>IF(D123&lt;400,H123+I123*'Factores generales'!$M$41+J123*'Factores generales'!$N$41,I123*'Factores generales'!$M$41+J123*'Factores generales'!$N$41)</f>
        <v>208210.91027509622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Actividad'!$N120*'FE Sectorial'!$H123*'FE Sectorial'!I123*'FE Sectorial'!P123/1000</f>
        <v>76935.924278135994</v>
      </c>
      <c r="I124" s="17">
        <f>'Datos Actividad'!$N120*'FE Sectorial'!$H123*'FE Sectorial'!J123/1000/1000</f>
        <v>7.0283124519999989</v>
      </c>
      <c r="J124" s="17">
        <f>'Datos Actividad'!$N120*'FE Sectorial'!$H123*'FE Sectorial'!K123/1000/1000</f>
        <v>2.0080892719999999</v>
      </c>
      <c r="K124" s="17">
        <f>'Datos Actividad'!$N120*'FE Sectorial'!$H123*'FE Sectorial'!L123/1000/1000</f>
        <v>1506.0669539999999</v>
      </c>
      <c r="L124" s="17">
        <f>'Datos Actividad'!$N120*'FE Sectorial'!$H123*'FE Sectorial'!M123/1000/1000</f>
        <v>1004.0446360000001</v>
      </c>
      <c r="M124" s="17">
        <f>'Datos Actividad'!$N120*'FE Sectorial'!$H123*'FE Sectorial'!N123/1000/1000</f>
        <v>200.80892719999997</v>
      </c>
      <c r="N124" s="17">
        <f>'Datos Actividad'!$N120*'FE Sectorial'!$H123*'FE Sectorial'!O123/1000/1000</f>
        <v>198.82071999999999</v>
      </c>
      <c r="O124" s="87">
        <f>IF(D124&lt;400,H124+I124*'Factores generales'!$M$41+J124*'Factores generales'!$N$41,I124*'Factores generales'!$M$41+J124*'Factores generales'!$N$41)</f>
        <v>77706.026513948003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2477129.5698533999</v>
      </c>
      <c r="I125" s="134">
        <f t="shared" si="34"/>
        <v>44.414185199999999</v>
      </c>
      <c r="J125" s="134">
        <f t="shared" si="34"/>
        <v>4.4517772200000003</v>
      </c>
      <c r="K125" s="134">
        <f t="shared" si="34"/>
        <v>6653.4955300000011</v>
      </c>
      <c r="L125" s="134">
        <f t="shared" si="34"/>
        <v>886.72989899999993</v>
      </c>
      <c r="M125" s="134">
        <f t="shared" si="34"/>
        <v>221.72563599999998</v>
      </c>
      <c r="N125" s="134">
        <f t="shared" si="34"/>
        <v>1.25268</v>
      </c>
      <c r="O125" s="134">
        <f t="shared" si="34"/>
        <v>2479442.3186808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2477129.5698533999</v>
      </c>
      <c r="I126" s="15">
        <f t="shared" si="35"/>
        <v>44.414185199999999</v>
      </c>
      <c r="J126" s="15">
        <f t="shared" si="35"/>
        <v>4.4517772200000003</v>
      </c>
      <c r="K126" s="15">
        <f t="shared" si="35"/>
        <v>6653.4955300000011</v>
      </c>
      <c r="L126" s="15">
        <f t="shared" si="35"/>
        <v>886.72989899999993</v>
      </c>
      <c r="M126" s="15">
        <f t="shared" si="35"/>
        <v>221.72563599999998</v>
      </c>
      <c r="N126" s="15">
        <f t="shared" si="35"/>
        <v>1.25268</v>
      </c>
      <c r="O126" s="15">
        <f t="shared" si="35"/>
        <v>2479442.3186808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Actividad'!$N123*'FE Sectorial'!$H126*'FE Sectorial'!I126*'FE Sectorial'!P126/1000</f>
        <v>2428473.5213903999</v>
      </c>
      <c r="I127" s="17">
        <f>'Datos Actividad'!$N123*'FE Sectorial'!$H126*'FE Sectorial'!J126/1000/1000</f>
        <v>43.505827199999999</v>
      </c>
      <c r="J127" s="17">
        <f>'Datos Actividad'!$N123*'FE Sectorial'!$H126*'FE Sectorial'!K126/1000/1000</f>
        <v>4.3505827200000002</v>
      </c>
      <c r="K127" s="17">
        <f>'Datos Actividad'!$N123*'FE Sectorial'!$H126*'FE Sectorial'!L126/1000/1000</f>
        <v>6525.8740800000005</v>
      </c>
      <c r="L127" s="17">
        <f>'Datos Actividad'!$N123*'FE Sectorial'!$H126*'FE Sectorial'!M126/1000/1000</f>
        <v>870.11654399999998</v>
      </c>
      <c r="M127" s="17">
        <f>'Datos Actividad'!$N123*'FE Sectorial'!$H126*'FE Sectorial'!N126/1000/1000</f>
        <v>217.52913599999999</v>
      </c>
      <c r="N127" s="17">
        <f>'Datos Actividad'!$N123*'FE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2430735.8244047998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Actividad'!$N124*'FE Sectorial'!$H127*'FE Sectorial'!I127*'FE Sectorial'!P127/1000</f>
        <v>2533.0129109999998</v>
      </c>
      <c r="I128" s="17">
        <f>'Datos Actividad'!$N124*'FE Sectorial'!$H127*'FE Sectorial'!J127/1000/1000</f>
        <v>0.103587</v>
      </c>
      <c r="J128" s="17">
        <f>'Datos Actividad'!$N124*'FE Sectorial'!$H127*'FE Sectorial'!K127/1000/1000</f>
        <v>2.0717399999999997E-2</v>
      </c>
      <c r="K128" s="17">
        <f>'Datos Actividad'!$N124*'FE Sectorial'!$H127*'FE Sectorial'!L127/1000/1000</f>
        <v>6.9058000000000002</v>
      </c>
      <c r="L128" s="17">
        <f>'Datos Actividad'!$N124*'FE Sectorial'!$H127*'FE Sectorial'!M127/1000/1000</f>
        <v>0.51793499999999992</v>
      </c>
      <c r="M128" s="17">
        <f>'Datos Actividad'!$N124*'FE Sectorial'!$H127*'FE Sectorial'!N127/1000/1000</f>
        <v>0.17264500000000002</v>
      </c>
      <c r="N128" s="17">
        <f>'Datos Actividad'!$N124*'FE Sectorial'!$H127*'FE Sectorial'!O127/1000/1000</f>
        <v>1.25268</v>
      </c>
      <c r="O128" s="87">
        <f>IF(D128&lt;400,H128+I128*'Factores generales'!$M$41+J128*'Factores generales'!$N$41,I128*'Factores generales'!$M$41+J128*'Factores generales'!$N$41)</f>
        <v>2541.6106319999999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Actividad'!$N125*'FE Sectorial'!$H128*'FE Sectorial'!I128*'FE Sectorial'!P128/1000</f>
        <v>46123.035552000001</v>
      </c>
      <c r="I129" s="17">
        <f>'Datos Actividad'!$N125*'FE Sectorial'!$H128*'FE Sectorial'!J128/1000/1000</f>
        <v>0.8047709999999999</v>
      </c>
      <c r="J129" s="17">
        <f>'Datos Actividad'!$N125*'FE Sectorial'!$H128*'FE Sectorial'!K128/1000/1000</f>
        <v>8.047710000000001E-2</v>
      </c>
      <c r="K129" s="17">
        <f>'Datos Actividad'!$N125*'FE Sectorial'!$H128*'FE Sectorial'!L128/1000/1000</f>
        <v>120.71565</v>
      </c>
      <c r="L129" s="17">
        <f>'Datos Actividad'!$N125*'FE Sectorial'!$H128*'FE Sectorial'!M128/1000/1000</f>
        <v>16.095420000000001</v>
      </c>
      <c r="M129" s="17">
        <f>'Datos Actividad'!$N125*'FE Sectorial'!$H128*'FE Sectorial'!N128/1000/1000</f>
        <v>4.0238550000000002</v>
      </c>
      <c r="N129" s="17">
        <f>'Datos Actividad'!$N125*'FE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46164.883644000001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35603108.593891099</v>
      </c>
      <c r="I131" s="129">
        <f t="shared" si="36"/>
        <v>3359.4241620525995</v>
      </c>
      <c r="J131" s="129">
        <f t="shared" si="36"/>
        <v>250.45285870304701</v>
      </c>
      <c r="K131" s="129">
        <f t="shared" si="36"/>
        <v>282178.22132517258</v>
      </c>
      <c r="L131" s="129">
        <f t="shared" si="36"/>
        <v>344007.48235349508</v>
      </c>
      <c r="M131" s="129">
        <f t="shared" si="36"/>
        <v>48478.759990169761</v>
      </c>
      <c r="N131" s="129">
        <f t="shared" si="36"/>
        <v>11701.280982299639</v>
      </c>
      <c r="O131" s="129">
        <f t="shared" si="36"/>
        <v>35751296.887492143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3737032.0661445516</v>
      </c>
      <c r="I132" s="134">
        <f>SUM(I133:I137)</f>
        <v>213.56070350987937</v>
      </c>
      <c r="J132" s="134">
        <f t="shared" ref="J132:O132" si="37">SUM(J133:J137)</f>
        <v>27.343169093845081</v>
      </c>
      <c r="K132" s="134">
        <f t="shared" si="37"/>
        <v>9917.1569931485737</v>
      </c>
      <c r="L132" s="134">
        <f t="shared" si="37"/>
        <v>26491.62572025587</v>
      </c>
      <c r="M132" s="134">
        <f t="shared" si="37"/>
        <v>3130.2335594541587</v>
      </c>
      <c r="N132" s="134">
        <f t="shared" si="37"/>
        <v>1628.645757753643</v>
      </c>
      <c r="O132" s="134">
        <f t="shared" si="37"/>
        <v>3749993.2233373509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Actividad'!$N129*'FE Sectorial'!$H132*'FE Sectorial'!I132*'FE Sectorial'!P132/1000</f>
        <v>456019.20000000001</v>
      </c>
      <c r="I133" s="17">
        <f>'Datos Actividad'!$N129*'FE Sectorial'!$H132*'FE Sectorial'!J132/1000/1000</f>
        <v>140.4</v>
      </c>
      <c r="J133" s="17">
        <f>'Datos Actividad'!$N129*'FE Sectorial'!$H132*'FE Sectorial'!K132/1000/1000</f>
        <v>18.72</v>
      </c>
      <c r="K133" s="17">
        <f>'Datos Actividad'!$N129*'FE Sectorial'!$H132*'FE Sectorial'!L132/1000/1000</f>
        <v>468</v>
      </c>
      <c r="L133" s="17">
        <f>'Datos Actividad'!$N129*'FE Sectorial'!$H132*'FE Sectorial'!M132/1000/1000</f>
        <v>23400</v>
      </c>
      <c r="M133" s="17">
        <f>'Datos Actividad'!$N129*'FE Sectorial'!$H132*'FE Sectorial'!N132/1000/1000</f>
        <v>2808</v>
      </c>
      <c r="N133" s="17">
        <f>'Datos Actividad'!$N129*'FE Sectorial'!$H132*'FE Sectorial'!O132/1000/1000</f>
        <v>1200</v>
      </c>
      <c r="O133" s="87">
        <f>IF(D133&lt;400,H133+I133*'Factores generales'!$M$41+J133*'Factores generales'!$N$41,I133*'Factores generales'!$M$41+J133*'Factores generales'!$N$41)</f>
        <v>8751.6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Actividad'!$N130*'FE Sectorial'!$H133*'FE Sectorial'!I133*'FE Sectorial'!P133/1000</f>
        <v>2862967.2346709287</v>
      </c>
      <c r="I134" s="17">
        <f>'Datos Actividad'!$N130*'FE Sectorial'!$H133*'FE Sectorial'!J133/1000/1000</f>
        <v>51.289732704000002</v>
      </c>
      <c r="J134" s="17">
        <f>'Datos Actividad'!$N130*'FE Sectorial'!$H133*'FE Sectorial'!K133/1000/1000</f>
        <v>5.1289732704000004</v>
      </c>
      <c r="K134" s="17">
        <f>'Datos Actividad'!$N130*'FE Sectorial'!$H133*'FE Sectorial'!L133/1000/1000</f>
        <v>7693.4599055999997</v>
      </c>
      <c r="L134" s="17">
        <f>'Datos Actividad'!$N130*'FE Sectorial'!$H133*'FE Sectorial'!M133/1000/1000</f>
        <v>2564.4866352000004</v>
      </c>
      <c r="M134" s="17">
        <f>'Datos Actividad'!$N130*'FE Sectorial'!$H133*'FE Sectorial'!N133/1000/1000</f>
        <v>256.44866352000003</v>
      </c>
      <c r="N134" s="17">
        <f>'Datos Actividad'!$N130*'FE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2865634.3007715368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Actividad'!$N131*'FE Sectorial'!$H134*'FE Sectorial'!I134*'FE Sectorial'!P134/1000</f>
        <v>549726.16159705119</v>
      </c>
      <c r="I135" s="17">
        <f>'Datos Actividad'!$N131*'FE Sectorial'!$H134*'FE Sectorial'!J134/1000/1000</f>
        <v>8.7999833773079619</v>
      </c>
      <c r="J135" s="17">
        <f>'Datos Actividad'!$N131*'FE Sectorial'!$H134*'FE Sectorial'!K134/1000/1000</f>
        <v>0.87999833773079628</v>
      </c>
      <c r="K135" s="17">
        <f>'Datos Actividad'!$N131*'FE Sectorial'!$H134*'FE Sectorial'!L134/1000/1000</f>
        <v>1319.9975065961946</v>
      </c>
      <c r="L135" s="17">
        <f>'Datos Actividad'!$N131*'FE Sectorial'!$H134*'FE Sectorial'!M134/1000/1000</f>
        <v>439.99916886539808</v>
      </c>
      <c r="M135" s="17">
        <f>'Datos Actividad'!$N131*'FE Sectorial'!$H134*'FE Sectorial'!N134/1000/1000</f>
        <v>43.999916886539815</v>
      </c>
      <c r="N135" s="17">
        <f>'Datos Actividad'!$N131*'FE Sectorial'!$H134*'FE Sectorial'!O134/1000/1000</f>
        <v>37.20923203935714</v>
      </c>
      <c r="O135" s="87">
        <f>IF(D135&lt;400,H135+I135*'Factores generales'!$M$41+J135*'Factores generales'!$N$41,I135*'Factores generales'!$M$41+J135*'Factores generales'!$N$41)</f>
        <v>550183.76073267125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Actividad'!$N132*'FE Sectorial'!$H135*'FE Sectorial'!I135*'FE Sectorial'!P135/1000</f>
        <v>213778.29844800002</v>
      </c>
      <c r="I136" s="17">
        <f>'Datos Actividad'!$N132*'FE Sectorial'!$H135*'FE Sectorial'!J135/1000/1000</f>
        <v>8.7424159999999986</v>
      </c>
      <c r="J136" s="17">
        <f>'Datos Actividad'!$N132*'FE Sectorial'!$H135*'FE Sectorial'!K135/1000/1000</f>
        <v>1.7484832000000001</v>
      </c>
      <c r="K136" s="17">
        <f>'Datos Actividad'!$N132*'FE Sectorial'!$H135*'FE Sectorial'!L135/1000/1000</f>
        <v>291.41386666666671</v>
      </c>
      <c r="L136" s="17">
        <f>'Datos Actividad'!$N132*'FE Sectorial'!$H135*'FE Sectorial'!M135/1000/1000</f>
        <v>58.282773333333346</v>
      </c>
      <c r="M136" s="17">
        <f>'Datos Actividad'!$N132*'FE Sectorial'!$H135*'FE Sectorial'!N135/1000/1000</f>
        <v>14.570693333333336</v>
      </c>
      <c r="N136" s="17">
        <f>'Datos Actividad'!$N132*'FE Sectorial'!$H135*'FE Sectorial'!O135/1000/1000</f>
        <v>105.72224000000001</v>
      </c>
      <c r="O136" s="87">
        <f>IF(D136&lt;400,H136+I136*'Factores generales'!$M$41+J136*'Factores generales'!$N$41,I136*'Factores generales'!$M$41+J136*'Factores generales'!$N$41)</f>
        <v>214503.91897600002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Actividad'!$N133*'FE Sectorial'!$H136*'FE Sectorial'!I136*'FE Sectorial'!P136/1000</f>
        <v>110560.37142857144</v>
      </c>
      <c r="I137" s="17">
        <f>'Datos Actividad'!$N133*'FE Sectorial'!$H136*'FE Sectorial'!J136/1000/1000</f>
        <v>4.3285714285714292</v>
      </c>
      <c r="J137" s="17">
        <f>'Datos Actividad'!$N133*'FE Sectorial'!$H136*'FE Sectorial'!K136/1000/1000</f>
        <v>0.86571428571428577</v>
      </c>
      <c r="K137" s="17">
        <f>'Datos Actividad'!$N133*'FE Sectorial'!$H136*'FE Sectorial'!L136/1000/1000</f>
        <v>144.28571428571428</v>
      </c>
      <c r="L137" s="17">
        <f>'Datos Actividad'!$N133*'FE Sectorial'!$H136*'FE Sectorial'!M136/1000/1000</f>
        <v>28.857142857142858</v>
      </c>
      <c r="M137" s="17">
        <f>'Datos Actividad'!$N133*'FE Sectorial'!$H136*'FE Sectorial'!N136/1000/1000</f>
        <v>7.2142857142857144</v>
      </c>
      <c r="N137" s="17">
        <f>'Datos Actividad'!$N133*'FE Sectorial'!$H136*'FE Sectorial'!O136/1000/1000</f>
        <v>285.71428571428572</v>
      </c>
      <c r="O137" s="87">
        <f>IF(D137&lt;400,H137+I137*'Factores generales'!$M$41+J137*'Factores generales'!$N$41,I137*'Factores generales'!$M$41+J137*'Factores generales'!$N$41)</f>
        <v>110919.64285714286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18057862.1090221</v>
      </c>
      <c r="I138" s="134">
        <f>SUM(I139:I144)</f>
        <v>2585.9228050115048</v>
      </c>
      <c r="J138" s="134">
        <f t="shared" ref="J138:O138" si="38">SUM(J139:J144)</f>
        <v>111.37209771574425</v>
      </c>
      <c r="K138" s="134">
        <f t="shared" si="38"/>
        <v>48911.149951501357</v>
      </c>
      <c r="L138" s="134">
        <f t="shared" si="38"/>
        <v>131578.83209239269</v>
      </c>
      <c r="M138" s="134">
        <f t="shared" si="38"/>
        <v>8173.6484631855719</v>
      </c>
      <c r="N138" s="134">
        <f t="shared" si="38"/>
        <v>2294.1413977442608</v>
      </c>
      <c r="O138" s="134">
        <f t="shared" si="38"/>
        <v>18146691.838219218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Actividad'!$N135*'FE Sectorial'!$H138*'FE Sectorial'!I138*'FE Sectorial'!P138/1000</f>
        <v>680724.31304347829</v>
      </c>
      <c r="I139" s="17">
        <f>'Datos Actividad'!$N135*'FE Sectorial'!$H138*'FE Sectorial'!J138/1000/1000</f>
        <v>209.5826086956522</v>
      </c>
      <c r="J139" s="17">
        <f>'Datos Actividad'!$N135*'FE Sectorial'!$H138*'FE Sectorial'!K138/1000/1000</f>
        <v>27.944347826086958</v>
      </c>
      <c r="K139" s="17">
        <f>'Datos Actividad'!$N135*'FE Sectorial'!$H138*'FE Sectorial'!L138/1000/1000</f>
        <v>698.60869565217388</v>
      </c>
      <c r="L139" s="17">
        <f>'Datos Actividad'!$N135*'FE Sectorial'!$H138*'FE Sectorial'!M138/1000/1000</f>
        <v>34930.434782608696</v>
      </c>
      <c r="M139" s="17">
        <f>'Datos Actividad'!$N135*'FE Sectorial'!$H138*'FE Sectorial'!N138/1000/1000</f>
        <v>4191.652173913043</v>
      </c>
      <c r="N139" s="17">
        <f>'Datos Actividad'!$N135*'FE Sectorial'!$H138*'FE Sectorial'!O138/1000/1000</f>
        <v>1791.304347826087</v>
      </c>
      <c r="O139" s="87">
        <f>IF(D139&lt;400,H139+I139*'Factores generales'!$M$41+J139*'Factores generales'!$N$41,I139*'Factores generales'!$M$41+J139*'Factores generales'!$N$41)</f>
        <v>13063.982608695653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Actividad'!$N136*'FE Sectorial'!$H139*'FE Sectorial'!I139*'FE Sectorial'!P139/1000</f>
        <v>205427.8446255273</v>
      </c>
      <c r="I140" s="17">
        <f>'Datos Actividad'!$N136*'FE Sectorial'!$H139*'FE Sectorial'!J139/1000/1000</f>
        <v>70.837187801905969</v>
      </c>
      <c r="J140" s="17">
        <f>'Datos Actividad'!$N136*'FE Sectorial'!$H139*'FE Sectorial'!K139/1000/1000</f>
        <v>9.4449583735874612</v>
      </c>
      <c r="K140" s="17">
        <f>'Datos Actividad'!$N136*'FE Sectorial'!$H139*'FE Sectorial'!L139/1000/1000</f>
        <v>236.12395933968656</v>
      </c>
      <c r="L140" s="17">
        <f>'Datos Actividad'!$N136*'FE Sectorial'!$H139*'FE Sectorial'!M139/1000/1000</f>
        <v>11806.197966984328</v>
      </c>
      <c r="M140" s="17">
        <f>'Datos Actividad'!$N136*'FE Sectorial'!$H139*'FE Sectorial'!N139/1000/1000</f>
        <v>1416.743756038119</v>
      </c>
      <c r="N140" s="17">
        <f>'Datos Actividad'!$N136*'FE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4415.5180396521382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Actividad'!$N137*'FE Sectorial'!$H140*'FE Sectorial'!I140*'FE Sectorial'!P140/1000</f>
        <v>14092619.094847657</v>
      </c>
      <c r="I141" s="17">
        <f>'Datos Actividad'!$N137*'FE Sectorial'!$H140*'FE Sectorial'!J140/1000/1000</f>
        <v>252.46766980800001</v>
      </c>
      <c r="J141" s="17">
        <f>'Datos Actividad'!$N137*'FE Sectorial'!$H140*'FE Sectorial'!K140/1000/1000</f>
        <v>25.246766980800004</v>
      </c>
      <c r="K141" s="17">
        <f>'Datos Actividad'!$N137*'FE Sectorial'!$H140*'FE Sectorial'!L140/1000/1000</f>
        <v>37870.150471199995</v>
      </c>
      <c r="L141" s="17">
        <f>'Datos Actividad'!$N137*'FE Sectorial'!$H140*'FE Sectorial'!M140/1000/1000</f>
        <v>12623.3834904</v>
      </c>
      <c r="M141" s="17">
        <f>'Datos Actividad'!$N137*'FE Sectorial'!$H140*'FE Sectorial'!N140/1000/1000</f>
        <v>1262.3383490399999</v>
      </c>
      <c r="N141" s="17">
        <f>'Datos Actividad'!$N137*'FE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14105747.413677672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Actividad'!$N138*'FE Sectorial'!$H141*'FE Sectorial'!I141*'FE Sectorial'!P141/1000</f>
        <v>3556098.8418443464</v>
      </c>
      <c r="I142" s="17">
        <f>'Datos Actividad'!$N138*'FE Sectorial'!$H141*'FE Sectorial'!J141/1000/1000</f>
        <v>56.925816674580133</v>
      </c>
      <c r="J142" s="17">
        <f>'Datos Actividad'!$N138*'FE Sectorial'!$H141*'FE Sectorial'!K141/1000/1000</f>
        <v>5.6925816674580139</v>
      </c>
      <c r="K142" s="17">
        <f>'Datos Actividad'!$N138*'FE Sectorial'!$H141*'FE Sectorial'!L141/1000/1000</f>
        <v>8538.872501187021</v>
      </c>
      <c r="L142" s="17">
        <f>'Datos Actividad'!$N138*'FE Sectorial'!$H141*'FE Sectorial'!M141/1000/1000</f>
        <v>2846.2908337290069</v>
      </c>
      <c r="M142" s="17">
        <f>'Datos Actividad'!$N138*'FE Sectorial'!$H141*'FE Sectorial'!N141/1000/1000</f>
        <v>284.62908337290065</v>
      </c>
      <c r="N142" s="17">
        <f>'Datos Actividad'!$N138*'FE Sectorial'!$H141*'FE Sectorial'!O141/1000/1000</f>
        <v>240.70112758807673</v>
      </c>
      <c r="O142" s="87">
        <f>IF(D142&lt;400,H142+I142*'Factores generales'!$M$41+J142*'Factores generales'!$N$41,I142*'Factores generales'!$M$41+J142*'Factores generales'!$N$41)</f>
        <v>3559058.9843114247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Actividad'!$N139*'FE Sectorial'!$H142*'FE Sectorial'!I142*'FE Sectorial'!P142/1000</f>
        <v>409144.172330097</v>
      </c>
      <c r="I143" s="17">
        <f>'Datos Actividad'!$N139*'FE Sectorial'!$H142*'FE Sectorial'!J142/1000/1000</f>
        <v>17.340291262135924</v>
      </c>
      <c r="J143" s="17">
        <f>'Datos Actividad'!$N139*'FE Sectorial'!$H142*'FE Sectorial'!K142/1000/1000</f>
        <v>3.4680582524271846</v>
      </c>
      <c r="K143" s="17">
        <f>'Datos Actividad'!$N139*'FE Sectorial'!$H142*'FE Sectorial'!L142/1000/1000</f>
        <v>578.009708737864</v>
      </c>
      <c r="L143" s="17">
        <f>'Datos Actividad'!$N139*'FE Sectorial'!$H142*'FE Sectorial'!M142/1000/1000</f>
        <v>115.60194174757281</v>
      </c>
      <c r="M143" s="17">
        <f>'Datos Actividad'!$N139*'FE Sectorial'!$H142*'FE Sectorial'!N142/1000/1000</f>
        <v>28.900485436893202</v>
      </c>
      <c r="N143" s="17">
        <f>'Datos Actividad'!$N139*'FE Sectorial'!$H142*'FE Sectorial'!O142/1000/1000</f>
        <v>262.13592233009712</v>
      </c>
      <c r="O143" s="87">
        <f>IF(D143&lt;400,H143+I143*'Factores generales'!$M$41+J143*'Factores generales'!$N$41,I143*'Factores generales'!$M$41+J143*'Factores generales'!$N$41)</f>
        <v>410583.41650485428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Actividad'!$N140*'FE Sectorial'!$H143*'FE Sectorial'!I143*'FE Sectorial'!P143/1000</f>
        <v>964056.36923076911</v>
      </c>
      <c r="I144" s="17">
        <f>'Datos Actividad'!$N140*'FE Sectorial'!$H143*'FE Sectorial'!J143/1000/1000</f>
        <v>1978.7692307692307</v>
      </c>
      <c r="J144" s="17">
        <f>'Datos Actividad'!$N140*'FE Sectorial'!$H143*'FE Sectorial'!K143/1000/1000</f>
        <v>39.575384615384614</v>
      </c>
      <c r="K144" s="17">
        <f>'Datos Actividad'!$N140*'FE Sectorial'!$H143*'FE Sectorial'!L143/1000/1000</f>
        <v>989.38461538461536</v>
      </c>
      <c r="L144" s="17">
        <f>'Datos Actividad'!$N140*'FE Sectorial'!$H143*'FE Sectorial'!M143/1000/1000</f>
        <v>69256.923076923093</v>
      </c>
      <c r="M144" s="17">
        <f>'Datos Actividad'!$N140*'FE Sectorial'!$H143*'FE Sectorial'!N143/1000/1000</f>
        <v>989.38461538461536</v>
      </c>
      <c r="N144" s="17">
        <f>'Datos Actividad'!$N140*'FE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53822.523076923077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13808214.418724444</v>
      </c>
      <c r="I145" s="134">
        <f t="shared" ref="I145:O145" si="39">SUM(I146:I149)</f>
        <v>559.94065353121539</v>
      </c>
      <c r="J145" s="134">
        <f t="shared" si="39"/>
        <v>111.73759189345766</v>
      </c>
      <c r="K145" s="134">
        <f t="shared" si="39"/>
        <v>223349.91438052262</v>
      </c>
      <c r="L145" s="134">
        <f t="shared" si="39"/>
        <v>185937.0245408465</v>
      </c>
      <c r="M145" s="134">
        <f t="shared" si="39"/>
        <v>37174.877967530032</v>
      </c>
      <c r="N145" s="134">
        <f t="shared" si="39"/>
        <v>7778.493826801734</v>
      </c>
      <c r="O145" s="134">
        <f t="shared" si="39"/>
        <v>13854611.825935572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Actividad'!$N142*'FE Sectorial'!$H145*'FE Sectorial'!I145*'FE Sectorial'!P145/1000</f>
        <v>156509.09095890413</v>
      </c>
      <c r="I146" s="17">
        <f>'Datos Actividad'!$N142*'FE Sectorial'!$H145*'FE Sectorial'!J145/1000/1000</f>
        <v>2.5053881278538812</v>
      </c>
      <c r="J146" s="17">
        <f>'Datos Actividad'!$N142*'FE Sectorial'!$H145*'FE Sectorial'!K145/1000/1000</f>
        <v>0.25053881278538809</v>
      </c>
      <c r="K146" s="17">
        <f>'Datos Actividad'!$N142*'FE Sectorial'!$H145*'FE Sectorial'!L145/1000/1000</f>
        <v>375.8082191780822</v>
      </c>
      <c r="L146" s="17">
        <f>'Datos Actividad'!$N142*'FE Sectorial'!$H145*'FE Sectorial'!M145/1000/1000</f>
        <v>125.26940639269405</v>
      </c>
      <c r="M146" s="17">
        <f>'Datos Actividad'!$N142*'FE Sectorial'!$H145*'FE Sectorial'!N145/1000/1000</f>
        <v>12.526940639269405</v>
      </c>
      <c r="N146" s="17">
        <f>'Datos Actividad'!$N142*'FE Sectorial'!$H145*'FE Sectorial'!O145/1000/1000</f>
        <v>10.593607305936073</v>
      </c>
      <c r="O146" s="87">
        <f>IF(D146&lt;400,H146+I146*'Factores generales'!$M$41+J146*'Factores generales'!$N$41,I146*'Factores generales'!$M$41+J146*'Factores generales'!$N$41)</f>
        <v>156639.37114155252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Actividad'!$N143*'FE Sectorial'!$H146*'FE Sectorial'!I146*'FE Sectorial'!P146/1000</f>
        <v>0</v>
      </c>
      <c r="I147" s="17">
        <f>'Datos Actividad'!$N143*'FE Sectorial'!$H146*'FE Sectorial'!J146/1000/1000</f>
        <v>0</v>
      </c>
      <c r="J147" s="17">
        <f>'Datos Actividad'!$N143*'FE Sectorial'!$H146*'FE Sectorial'!K146/1000/1000</f>
        <v>0</v>
      </c>
      <c r="K147" s="17">
        <f>'Datos Actividad'!$N143*'FE Sectorial'!$H146*'FE Sectorial'!L146/1000/1000</f>
        <v>0</v>
      </c>
      <c r="L147" s="17">
        <f>'Datos Actividad'!$N143*'FE Sectorial'!$H146*'FE Sectorial'!M146/1000/1000</f>
        <v>0</v>
      </c>
      <c r="M147" s="17">
        <f>'Datos Actividad'!$N143*'FE Sectorial'!$H146*'FE Sectorial'!N146/1000/1000</f>
        <v>0</v>
      </c>
      <c r="N147" s="17">
        <f>'Datos Actividad'!$N143*'FE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Actividad'!$N144*'FE Sectorial'!$H147*'FE Sectorial'!I147*'FE Sectorial'!P147/1000</f>
        <v>13165239.693479825</v>
      </c>
      <c r="I148" s="17">
        <f>'Datos Actividad'!$N144*'FE Sectorial'!$H147*'FE Sectorial'!J147/1000/1000</f>
        <v>538.38955111764722</v>
      </c>
      <c r="J148" s="17">
        <f>'Datos Actividad'!$N144*'FE Sectorial'!$H147*'FE Sectorial'!K147/1000/1000</f>
        <v>107.67791022352941</v>
      </c>
      <c r="K148" s="17">
        <f>'Datos Actividad'!$N144*'FE Sectorial'!$H147*'FE Sectorial'!L147/1000/1000</f>
        <v>215355.82044705882</v>
      </c>
      <c r="L148" s="17">
        <f>'Datos Actividad'!$N144*'FE Sectorial'!$H147*'FE Sectorial'!M147/1000/1000</f>
        <v>179463.18370588237</v>
      </c>
      <c r="M148" s="17">
        <f>'Datos Actividad'!$N144*'FE Sectorial'!$H147*'FE Sectorial'!N147/1000/1000</f>
        <v>35892.63674117648</v>
      </c>
      <c r="N148" s="17">
        <f>'Datos Actividad'!$N144*'FE Sectorial'!$H147*'FE Sectorial'!O147/1000/1000</f>
        <v>6510.7573623529415</v>
      </c>
      <c r="O148" s="87">
        <f>IF(D148&lt;400,H148+I148*'Factores generales'!$M$41+J148*'Factores generales'!$N$41,I148*'Factores generales'!$M$41+J148*'Factores generales'!$N$41)</f>
        <v>13209926.02622259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Actividad'!$N145*'FE Sectorial'!$H148*'FE Sectorial'!I148*'FE Sectorial'!P148/1000</f>
        <v>486465.6342857143</v>
      </c>
      <c r="I149" s="17">
        <f>'Datos Actividad'!$N145*'FE Sectorial'!$H148*'FE Sectorial'!J148/1000/1000</f>
        <v>19.045714285714283</v>
      </c>
      <c r="J149" s="17">
        <f>'Datos Actividad'!$N145*'FE Sectorial'!$H148*'FE Sectorial'!K148/1000/1000</f>
        <v>3.8091428571428567</v>
      </c>
      <c r="K149" s="17">
        <f>'Datos Actividad'!$N145*'FE Sectorial'!$H148*'FE Sectorial'!L148/1000/1000</f>
        <v>7618.2857142857147</v>
      </c>
      <c r="L149" s="17">
        <f>'Datos Actividad'!$N145*'FE Sectorial'!$H148*'FE Sectorial'!M148/1000/1000</f>
        <v>6348.5714285714284</v>
      </c>
      <c r="M149" s="17">
        <f>'Datos Actividad'!$N145*'FE Sectorial'!$H148*'FE Sectorial'!N148/1000/1000</f>
        <v>1269.7142857142858</v>
      </c>
      <c r="N149" s="17">
        <f>'Datos Actividad'!$N145*'FE Sectorial'!$H148*'FE Sectorial'!O148/1000/1000</f>
        <v>1257.1428571428571</v>
      </c>
      <c r="O149" s="87">
        <f>IF(D149&lt;400,H149+I149*'Factores generales'!$M$41+J149*'Factores generales'!$N$41,I149*'Factores generales'!$M$41+J149*'Factores generales'!$N$41)</f>
        <v>488046.42857142864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Actividad'!$N147*'FE Sectorial'!$H150*'FE Sectorial'!I150*'FE Sectorial'!P150/1000</f>
        <v>0</v>
      </c>
      <c r="I151" s="134">
        <f>'Datos Actividad'!$N147*'FE Sectorial'!$H150*'FE Sectorial'!J150/1000/1000</f>
        <v>0</v>
      </c>
      <c r="J151" s="134">
        <f>'Datos Actividad'!$N147*'FE Sectorial'!$H150*'FE Sectorial'!K150/1000/1000</f>
        <v>0</v>
      </c>
      <c r="K151" s="134">
        <f>'Datos Actividad'!$N147*'FE Sectorial'!$H150*'FE Sectorial'!L150/1000/1000</f>
        <v>0</v>
      </c>
      <c r="L151" s="134">
        <f>'Datos Actividad'!$N147*'FE Sectorial'!$H150*'FE Sectorial'!M150/1000/1000</f>
        <v>0</v>
      </c>
      <c r="M151" s="134">
        <f>'Datos Actividad'!$N147*'FE Sectorial'!$H150*'FE Sectorial'!N150/1000/1000</f>
        <v>0</v>
      </c>
      <c r="N151" s="134">
        <f>'Datos Actividad'!$N147*'FE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Actividad'!$N148*'FE Sectorial'!$H151*'FE Sectorial'!I151*'FE Sectorial'!P151/1000</f>
        <v>0</v>
      </c>
      <c r="I152" s="134">
        <f>'Datos Actividad'!$N148*'FE Sectorial'!$H151*'FE Sectorial'!J151/1000/1000</f>
        <v>0</v>
      </c>
      <c r="J152" s="134">
        <f>'Datos Actividad'!$N148*'FE Sectorial'!$H151*'FE Sectorial'!K151/1000/1000</f>
        <v>0</v>
      </c>
      <c r="K152" s="134">
        <f>'Datos Actividad'!$N148*'FE Sectorial'!$H151*'FE Sectorial'!L151/1000/1000</f>
        <v>0</v>
      </c>
      <c r="L152" s="134">
        <f>'Datos Actividad'!$N148*'FE Sectorial'!$H151*'FE Sectorial'!M151/1000/1000</f>
        <v>0</v>
      </c>
      <c r="M152" s="134">
        <f>'Datos Actividad'!$N148*'FE Sectorial'!$H151*'FE Sectorial'!N151/1000/1000</f>
        <v>0</v>
      </c>
      <c r="N152" s="134">
        <f>'Datos Actividad'!$N148*'FE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5459724.5495105637</v>
      </c>
      <c r="I153" s="124">
        <f t="shared" ref="I153:N153" si="41">I154+I168</f>
        <v>364564.42535959155</v>
      </c>
      <c r="J153" s="124">
        <f t="shared" si="41"/>
        <v>33.925588399065909</v>
      </c>
      <c r="K153" s="124">
        <f t="shared" si="41"/>
        <v>1559.3255742210615</v>
      </c>
      <c r="L153" s="124">
        <f t="shared" si="41"/>
        <v>2494.9072425600002</v>
      </c>
      <c r="M153" s="124">
        <f t="shared" si="41"/>
        <v>118651.53562657972</v>
      </c>
      <c r="N153" s="124">
        <f t="shared" si="41"/>
        <v>24949.072425600003</v>
      </c>
      <c r="O153" s="124">
        <f>IF(D153&lt;400,H153+I153*'Factores generales'!$M$41+J153*'Factores generales'!$N$41,I153*'Factores generales'!$M$41+J153*'Factores generales'!$N$41)</f>
        <v>13126094.414465696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5459724.5495105637</v>
      </c>
      <c r="I168" s="129">
        <f t="shared" ref="I168:O168" si="44">I169+I188+I204</f>
        <v>361852.83397923247</v>
      </c>
      <c r="J168" s="129">
        <f t="shared" si="44"/>
        <v>33.925588399065909</v>
      </c>
      <c r="K168" s="129">
        <f t="shared" si="44"/>
        <v>1559.3255742210615</v>
      </c>
      <c r="L168" s="129">
        <f t="shared" si="44"/>
        <v>2494.9072425600002</v>
      </c>
      <c r="M168" s="129">
        <f t="shared" si="44"/>
        <v>118651.53562657972</v>
      </c>
      <c r="N168" s="129">
        <f t="shared" si="44"/>
        <v>24949.072425600003</v>
      </c>
      <c r="O168" s="129">
        <f t="shared" si="44"/>
        <v>13069150.995478153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41283.763338749646</v>
      </c>
      <c r="I169" s="134">
        <f t="shared" ref="I169:O169" si="45">SUM(I170:I187)</f>
        <v>14006.070432894276</v>
      </c>
      <c r="J169" s="134">
        <f t="shared" si="45"/>
        <v>0.28498271386173579</v>
      </c>
      <c r="K169" s="134">
        <f t="shared" si="45"/>
        <v>1559.3255742210615</v>
      </c>
      <c r="L169" s="134">
        <f t="shared" si="45"/>
        <v>2494.9072425600002</v>
      </c>
      <c r="M169" s="134">
        <f t="shared" si="45"/>
        <v>67480.858579466731</v>
      </c>
      <c r="N169" s="134">
        <f t="shared" si="45"/>
        <v>24949.072425600003</v>
      </c>
      <c r="O169" s="134">
        <f t="shared" si="45"/>
        <v>335499.58707082656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Actividad'!$N167*'FE Sectorial'!I170*1000</f>
        <v>1152.0360783333438</v>
      </c>
      <c r="I171" s="92">
        <f>'Datos Actividad'!$N167*'FE Sectorial'!J170*1000</f>
        <v>24.462710734287281</v>
      </c>
      <c r="J171" s="92">
        <f>'Datos Actividad'!$N167*'FE Sectorial'!K170*1000</f>
        <v>8.478372485329953E-3</v>
      </c>
      <c r="K171" s="92">
        <f>'Datos Actividad'!$N167*'FE Sectorial'!L170*1000</f>
        <v>0</v>
      </c>
      <c r="L171" s="92">
        <f>'Datos Actividad'!$N167*'FE Sectorial'!M170*1000</f>
        <v>0</v>
      </c>
      <c r="M171" s="92">
        <f>'Datos Actividad'!$N167*'FE Sectorial'!N170*1000</f>
        <v>3.7694458206302213</v>
      </c>
      <c r="N171" s="92">
        <f>'Datos Actividad'!$N167*'FE Sectorial'!O170*1000</f>
        <v>0</v>
      </c>
      <c r="O171" s="87">
        <f>IF(D171&lt;400,H171+I171*'Factores generales'!$M$41+J171*'Factores generales'!$N$41,I171*'Factores generales'!$M$41+J171*'Factores generales'!$N$41)</f>
        <v>1668.3812992238288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Actividad'!$N168*'FE Sectorial'!I171*1000</f>
        <v>3418.945780860246</v>
      </c>
      <c r="I172" s="92">
        <f>'Datos Actividad'!$N168*'FE Sectorial'!J171*1000</f>
        <v>72.599012501755809</v>
      </c>
      <c r="J172" s="92">
        <f>'Datos Actividad'!$N168*'FE Sectorial'!K171*1000</f>
        <v>2.5161621569366313E-2</v>
      </c>
      <c r="K172" s="92">
        <f>'Datos Actividad'!$N168*'FE Sectorial'!L171*1000</f>
        <v>0</v>
      </c>
      <c r="L172" s="92">
        <f>'Datos Actividad'!$N168*'FE Sectorial'!M171*1000</f>
        <v>0</v>
      </c>
      <c r="M172" s="92">
        <f>'Datos Actividad'!$N168*'FE Sectorial'!N171*1000</f>
        <v>11.186742435418722</v>
      </c>
      <c r="N172" s="92">
        <f>'Datos Actividad'!$N168*'FE Sectorial'!O171*1000</f>
        <v>0</v>
      </c>
      <c r="O172" s="87">
        <f>IF(D172&lt;400,H172+I172*'Factores generales'!$M$41+J172*'Factores generales'!$N$41,I172*'Factores generales'!$M$41+J172*'Factores generales'!$N$41)</f>
        <v>4951.3251460836209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Actividad'!$N169*'FE Sectorial'!I172*1000</f>
        <v>34152.29535446268</v>
      </c>
      <c r="I173" s="92">
        <f>'Datos Actividad'!$N169*'FE Sectorial'!J172*1000</f>
        <v>725.2010053164521</v>
      </c>
      <c r="J173" s="92">
        <f>'Datos Actividad'!$N169*'FE Sectorial'!K172*1000</f>
        <v>0.25134271980703954</v>
      </c>
      <c r="K173" s="92">
        <f>'Datos Actividad'!$N169*'FE Sectorial'!L172*1000</f>
        <v>0</v>
      </c>
      <c r="L173" s="92">
        <f>'Datos Actividad'!$N169*'FE Sectorial'!M172*1000</f>
        <v>0</v>
      </c>
      <c r="M173" s="92">
        <f>'Datos Actividad'!$N169*'FE Sectorial'!N172*1000</f>
        <v>111.74582932771526</v>
      </c>
      <c r="N173" s="92">
        <f>'Datos Actividad'!$N169*'FE Sectorial'!O172*1000</f>
        <v>0</v>
      </c>
      <c r="O173" s="87">
        <f>IF(D173&lt;400,H173+I173*'Factores generales'!$M$41+J173*'Factores generales'!$N$41,I173*'Factores generales'!$M$41+J173*'Factores generales'!$N$41)</f>
        <v>49459.432709248358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Actividad'!$N171*'FE Sectorial'!I174</f>
        <v>879.3585130681771</v>
      </c>
      <c r="I175" s="92">
        <f>'Datos Actividad'!$N171*'FE Sectorial'!J174</f>
        <v>12129.884252448001</v>
      </c>
      <c r="J175" s="92">
        <f>'Datos Actividad'!$N171*'FE Sectorial'!K174</f>
        <v>0</v>
      </c>
      <c r="K175" s="92">
        <f>'Datos Actividad'!$N171*'FE Sectorial'!L174</f>
        <v>0</v>
      </c>
      <c r="L175" s="92">
        <f>'Datos Actividad'!$N171*'FE Sectorial'!M174</f>
        <v>0</v>
      </c>
      <c r="M175" s="92">
        <f>'Datos Actividad'!$N171*'FE Sectorial'!N174</f>
        <v>14856.013528759289</v>
      </c>
      <c r="N175" s="92">
        <f>'Datos Actividad'!$N171*'FE Sectorial'!O174</f>
        <v>0</v>
      </c>
      <c r="O175" s="87">
        <f>IF(D175&lt;400,H175+I175*'Factores generales'!$M$41+J175*'Factores generales'!$N$41,I175*'Factores generales'!$M$41+J175*'Factores generales'!$N$41)</f>
        <v>255606.92781447619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Actividad'!$N173*'FE Sectorial'!I176</f>
        <v>0</v>
      </c>
      <c r="I177" s="92">
        <f>'Datos Actividad'!$N173*'FE Sectorial'!J176</f>
        <v>532.51322872684761</v>
      </c>
      <c r="J177" s="92">
        <f>'Datos Actividad'!$N173*'FE Sectorial'!K176</f>
        <v>0</v>
      </c>
      <c r="K177" s="92">
        <f>'Datos Actividad'!$N173*'FE Sectorial'!L176</f>
        <v>0</v>
      </c>
      <c r="L177" s="92">
        <f>'Datos Actividad'!$N173*'FE Sectorial'!M176</f>
        <v>0</v>
      </c>
      <c r="M177" s="92">
        <f>'Datos Actividad'!$N173*'FE Sectorial'!N176</f>
        <v>0</v>
      </c>
      <c r="N177" s="92">
        <f>'Datos Actividad'!$N173*'FE Sectorial'!O176</f>
        <v>0</v>
      </c>
      <c r="O177" s="87">
        <f>IF(D177&lt;400,H177+I177*'Factores generales'!$M$41+J177*'Factores generales'!$N$41,I177*'Factores generales'!$M$41+J177*'Factores generales'!$N$41)</f>
        <v>11182.7778032638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Actividad'!$N174*'FE Sectorial'!I177</f>
        <v>10.456222757922898</v>
      </c>
      <c r="I178" s="92">
        <f>'Datos Actividad'!$N174*'FE Sectorial'!J177</f>
        <v>115.231842638334</v>
      </c>
      <c r="J178" s="92">
        <f>'Datos Actividad'!$N174*'FE Sectorial'!K177</f>
        <v>0</v>
      </c>
      <c r="K178" s="92">
        <f>'Datos Actividad'!$N174*'FE Sectorial'!L177</f>
        <v>0</v>
      </c>
      <c r="L178" s="92">
        <f>'Datos Actividad'!$N174*'FE Sectorial'!M177</f>
        <v>0</v>
      </c>
      <c r="M178" s="92">
        <f>'Datos Actividad'!$N174*'FE Sectorial'!N177</f>
        <v>1152.31842638334</v>
      </c>
      <c r="N178" s="92">
        <f>'Datos Actividad'!$N174*'FE Sectorial'!O177</f>
        <v>0</v>
      </c>
      <c r="O178" s="87">
        <f>IF(D178&lt;400,H178+I178*'Factores generales'!$M$41+J178*'Factores generales'!$N$41,I178*'Factores generales'!$M$41+J178*'Factores generales'!$N$41)</f>
        <v>2430.3249181629371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Actividad'!$N177*'FE Sectorial'!I180</f>
        <v>0</v>
      </c>
      <c r="I181" s="92">
        <f>'Datos Actividad'!$N177*'FE Sectorial'!J180</f>
        <v>321.99047081229054</v>
      </c>
      <c r="J181" s="92">
        <f>'Datos Actividad'!$N177*'FE Sectorial'!K180</f>
        <v>0</v>
      </c>
      <c r="K181" s="92">
        <f>'Datos Actividad'!$N177*'FE Sectorial'!L180</f>
        <v>1559.3170266000002</v>
      </c>
      <c r="L181" s="92">
        <f>'Datos Actividad'!$N177*'FE Sectorial'!M180</f>
        <v>2494.9072425600002</v>
      </c>
      <c r="M181" s="92">
        <f>'Datos Actividad'!$N177*'FE Sectorial'!N180</f>
        <v>40542.242691599997</v>
      </c>
      <c r="N181" s="92">
        <f>'Datos Actividad'!$N177*'FE Sectorial'!O180</f>
        <v>24949.072425600003</v>
      </c>
      <c r="O181" s="87">
        <f>IF(D181&lt;400,H181+I181*'Factores generales'!$M$41+J181*'Factores generales'!$N$41,I181*'Factores generales'!$M$41+J181*'Factores generales'!$N$41)</f>
        <v>6761.7998870581014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Actividad'!$N179*'FE Sectorial'!I182</f>
        <v>0</v>
      </c>
      <c r="I183" s="92">
        <f>'Datos Actividad'!$N179*'FE Sectorial'!J182</f>
        <v>84.187909716307146</v>
      </c>
      <c r="J183" s="92">
        <f>'Datos Actividad'!$N179*'FE Sectorial'!K182</f>
        <v>0</v>
      </c>
      <c r="K183" s="92">
        <f>'Datos Actividad'!$N179*'FE Sectorial'!L182</f>
        <v>0</v>
      </c>
      <c r="L183" s="92">
        <f>'Datos Actividad'!$N179*'FE Sectorial'!M182</f>
        <v>0</v>
      </c>
      <c r="M183" s="92">
        <f>'Datos Actividad'!$N179*'FE Sectorial'!N182</f>
        <v>0</v>
      </c>
      <c r="N183" s="92">
        <f>'Datos Actividad'!$N179*'FE Sectorial'!O182</f>
        <v>0</v>
      </c>
      <c r="O183" s="87">
        <f>IF(D183&lt;400,H183+I183*'Factores generales'!$M$41+J183*'Factores generales'!$N$41,I183*'Factores generales'!$M$41+J183*'Factores generales'!$N$41)</f>
        <v>1767.9461040424501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Actividad'!$N181*'FE Sectorial'!I184</f>
        <v>0</v>
      </c>
      <c r="I185" s="92">
        <f>'Datos Actividad'!$N181*'FE Sectorial'!J184</f>
        <v>0</v>
      </c>
      <c r="J185" s="92">
        <f>'Datos Actividad'!$N181*'FE Sectorial'!K184</f>
        <v>0</v>
      </c>
      <c r="K185" s="92">
        <f>'Datos Actividad'!$N181*'FE Sectorial'!L184</f>
        <v>0</v>
      </c>
      <c r="L185" s="92">
        <f>'Datos Actividad'!$N181*'FE Sectorial'!M184</f>
        <v>0</v>
      </c>
      <c r="M185" s="92">
        <f>'Datos Actividad'!$N181*'FE Sectorial'!N184</f>
        <v>10803.581915140341</v>
      </c>
      <c r="N185" s="92">
        <f>'Datos Actividad'!$N181*'FE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Actividad'!$N182*'FE Sectorial'!I185</f>
        <v>1670.6713892672808</v>
      </c>
      <c r="I186" s="92">
        <f>'Datos Actividad'!$N182*'FE Sectorial'!J185</f>
        <v>0</v>
      </c>
      <c r="J186" s="92">
        <f>'Datos Actividad'!$N182*'FE Sectorial'!K185</f>
        <v>0</v>
      </c>
      <c r="K186" s="92">
        <f>'Datos Actividad'!$N182*'FE Sectorial'!L185</f>
        <v>8.547621061367484E-3</v>
      </c>
      <c r="L186" s="92">
        <f>'Datos Actividad'!$N182*'FE Sectorial'!M185</f>
        <v>0</v>
      </c>
      <c r="M186" s="92">
        <f>'Datos Actividad'!$N182*'FE Sectorial'!N185</f>
        <v>0</v>
      </c>
      <c r="N186" s="92">
        <f>'Datos Actividad'!$N182*'FE Sectorial'!O185</f>
        <v>0</v>
      </c>
      <c r="O186" s="87">
        <f>IF(D186&lt;400,H186+I186*'Factores generales'!$M$41+J186*'Factores generales'!$N$41,I186*'Factores generales'!$M$41+J186*'Factores generales'!$N$41)</f>
        <v>1670.6713892672808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5982.9224929839747</v>
      </c>
      <c r="I188" s="134">
        <f t="shared" ref="I188:O188" si="46">SUM(I189:I203)</f>
        <v>305147.41646256868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29387.200421169684</v>
      </c>
      <c r="N188" s="134">
        <f t="shared" si="46"/>
        <v>0</v>
      </c>
      <c r="O188" s="134">
        <f t="shared" si="46"/>
        <v>6414078.6682069255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Actividad'!$N187*'FE Sectorial'!I190</f>
        <v>2618.2600422094401</v>
      </c>
      <c r="I191" s="92">
        <f>'Datos Actividad'!$N187*'FE Sectorial'!J190</f>
        <v>157510.65108292777</v>
      </c>
      <c r="J191" s="92">
        <f>'Datos Actividad'!$N187*'FE Sectorial'!K190</f>
        <v>0</v>
      </c>
      <c r="K191" s="92">
        <f>'Datos Actividad'!$N187*'FE Sectorial'!L190</f>
        <v>0</v>
      </c>
      <c r="L191" s="92">
        <f>'Datos Actividad'!$N187*'FE Sectorial'!M190</f>
        <v>0</v>
      </c>
      <c r="M191" s="92">
        <f>'Datos Actividad'!$N187*'FE Sectorial'!N190</f>
        <v>17235.497617049678</v>
      </c>
      <c r="N191" s="92">
        <f>'Datos Actividad'!$N187*'FE Sectorial'!O190</f>
        <v>0</v>
      </c>
      <c r="O191" s="87">
        <f>IF(D191&lt;400,H191+I191*'Factores generales'!$M$41+J191*'Factores generales'!$N$41,I191*'Factores generales'!$M$41+J191*'Factores generales'!$N$41)</f>
        <v>3310341.9327836926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Actividad'!$N189*'FE Sectorial'!I192</f>
        <v>956.05339102169239</v>
      </c>
      <c r="I193" s="92">
        <f>'Datos Actividad'!$N189*'FE Sectorial'!J192</f>
        <v>11950.667387771158</v>
      </c>
      <c r="J193" s="92">
        <f>'Datos Actividad'!$N189*'FE Sectorial'!K192</f>
        <v>0</v>
      </c>
      <c r="K193" s="92">
        <f>'Datos Actividad'!$N189*'FE Sectorial'!L192</f>
        <v>0</v>
      </c>
      <c r="L193" s="92">
        <f>'Datos Actividad'!$N189*'FE Sectorial'!M192</f>
        <v>0</v>
      </c>
      <c r="M193" s="92">
        <f>'Datos Actividad'!$N189*'FE Sectorial'!N192</f>
        <v>11039.553653320574</v>
      </c>
      <c r="N193" s="92">
        <f>'Datos Actividad'!$N189*'FE Sectorial'!O192</f>
        <v>0</v>
      </c>
      <c r="O193" s="87">
        <f>IF(D193&lt;400,H193+I193*'Factores generales'!$M$41+J193*'Factores generales'!$N$41,I193*'Factores generales'!$M$41+J193*'Factores generales'!$N$41)</f>
        <v>251920.06853421603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Actividad'!$N192*'FE Sectorial'!I195</f>
        <v>59.808749846506224</v>
      </c>
      <c r="I196" s="92">
        <f>'Datos Actividad'!$N192*'FE Sectorial'!J195</f>
        <v>18609.041352871271</v>
      </c>
      <c r="J196" s="92">
        <f>'Datos Actividad'!$N192*'FE Sectorial'!K195</f>
        <v>0</v>
      </c>
      <c r="K196" s="92">
        <f>'Datos Actividad'!$N192*'FE Sectorial'!L195</f>
        <v>0</v>
      </c>
      <c r="L196" s="92">
        <f>'Datos Actividad'!$N192*'FE Sectorial'!M195</f>
        <v>0</v>
      </c>
      <c r="M196" s="92">
        <f>'Datos Actividad'!$N192*'FE Sectorial'!N195</f>
        <v>445.02259079943047</v>
      </c>
      <c r="N196" s="92">
        <f>'Datos Actividad'!$N192*'FE Sectorial'!O195</f>
        <v>0</v>
      </c>
      <c r="O196" s="87">
        <f>IF(D196&lt;400,H196+I196*'Factores generales'!$M$41+J196*'Factores generales'!$N$41,I196*'Factores generales'!$M$41+J196*'Factores generales'!$N$41)</f>
        <v>390849.67716014321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Actividad'!$N194*'FE Sectorial'!I197</f>
        <v>2348.8003099063367</v>
      </c>
      <c r="I198" s="92">
        <f>'Datos Actividad'!$N194*'FE Sectorial'!J197</f>
        <v>46096.010150010821</v>
      </c>
      <c r="J198" s="92">
        <f>'Datos Actividad'!$N194*'FE Sectorial'!K197</f>
        <v>0</v>
      </c>
      <c r="K198" s="92">
        <f>'Datos Actividad'!$N194*'FE Sectorial'!L197</f>
        <v>0</v>
      </c>
      <c r="L198" s="92">
        <f>'Datos Actividad'!$N194*'FE Sectorial'!M197</f>
        <v>0</v>
      </c>
      <c r="M198" s="92">
        <f>'Datos Actividad'!$N194*'FE Sectorial'!N197</f>
        <v>667.12656000000015</v>
      </c>
      <c r="N198" s="92">
        <f>'Datos Actividad'!$N194*'FE Sectorial'!O197</f>
        <v>0</v>
      </c>
      <c r="O198" s="87">
        <f>IF(D198&lt;400,H198+I198*'Factores generales'!$M$41+J198*'Factores generales'!$N$41,I198*'Factores generales'!$M$41+J198*'Factores generales'!$N$41)</f>
        <v>970365.01346013357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Actividad'!$N197*'FE Sectorial'!I200</f>
        <v>0</v>
      </c>
      <c r="I201" s="92">
        <f>'Datos Actividad'!$N197*'FE Sectorial'!J200</f>
        <v>57767.599479715653</v>
      </c>
      <c r="J201" s="92">
        <f>'Datos Actividad'!$N197*'FE Sectorial'!K200</f>
        <v>0</v>
      </c>
      <c r="K201" s="92">
        <f>'Datos Actividad'!$N197*'FE Sectorial'!L200</f>
        <v>0</v>
      </c>
      <c r="L201" s="92">
        <f>'Datos Actividad'!$N197*'FE Sectorial'!M200</f>
        <v>0</v>
      </c>
      <c r="M201" s="92">
        <f>'Datos Actividad'!$N197*'FE Sectorial'!N200</f>
        <v>0</v>
      </c>
      <c r="N201" s="92">
        <f>'Datos Actividad'!$N197*'FE Sectorial'!O200</f>
        <v>0</v>
      </c>
      <c r="O201" s="87">
        <f>IF(D201&lt;400,H201+I201*'Factores generales'!$M$41+J201*'Factores generales'!$N$41,I201*'Factores generales'!$M$41+J201*'Factores generales'!$N$41)</f>
        <v>1213119.5890740287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Actividad'!$N199*'FE Sectorial'!I202</f>
        <v>0</v>
      </c>
      <c r="I203" s="92">
        <f>'Datos Actividad'!$N199*'FE Sectorial'!J202</f>
        <v>13213.447009271998</v>
      </c>
      <c r="J203" s="92">
        <f>'Datos Actividad'!$N199*'FE Sectorial'!K202</f>
        <v>0</v>
      </c>
      <c r="K203" s="92">
        <f>'Datos Actividad'!$N199*'FE Sectorial'!L202</f>
        <v>0</v>
      </c>
      <c r="L203" s="92">
        <f>'Datos Actividad'!$N199*'FE Sectorial'!M202</f>
        <v>0</v>
      </c>
      <c r="M203" s="92">
        <f>'Datos Actividad'!$N199*'FE Sectorial'!N202</f>
        <v>0</v>
      </c>
      <c r="N203" s="92">
        <f>'Datos Actividad'!$N199*'FE Sectorial'!O202</f>
        <v>0</v>
      </c>
      <c r="O203" s="87">
        <f>IF(D203&lt;400,H203+I203*'Factores generales'!$M$41+J203*'Factores generales'!$N$41,I203*'Factores generales'!$M$41+J203*'Factores generales'!$N$41)</f>
        <v>277482.38719471195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5412457.8636788297</v>
      </c>
      <c r="I204" s="134">
        <f t="shared" ref="I204:O204" si="47">SUM(I205:I221)</f>
        <v>42699.347083769484</v>
      </c>
      <c r="J204" s="134">
        <f t="shared" si="47"/>
        <v>33.640605685204171</v>
      </c>
      <c r="K204" s="134">
        <f t="shared" si="47"/>
        <v>0</v>
      </c>
      <c r="L204" s="134">
        <f t="shared" si="47"/>
        <v>0</v>
      </c>
      <c r="M204" s="134">
        <f t="shared" si="47"/>
        <v>21783.476625943302</v>
      </c>
      <c r="N204" s="134">
        <f t="shared" si="47"/>
        <v>0</v>
      </c>
      <c r="O204" s="134">
        <f t="shared" si="47"/>
        <v>6319572.7402004022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Actividad'!$N203*'FE Sectorial'!I206</f>
        <v>4493.3358505503056</v>
      </c>
      <c r="I207" s="92">
        <f>'Datos Actividad'!$N203*'FE Sectorial'!J206</f>
        <v>34136.520157509687</v>
      </c>
      <c r="J207" s="92">
        <f>'Datos Actividad'!$N203*'FE Sectorial'!K206</f>
        <v>0</v>
      </c>
      <c r="K207" s="92">
        <f>'Datos Actividad'!$N203*'FE Sectorial'!L206</f>
        <v>0</v>
      </c>
      <c r="L207" s="92">
        <f>'Datos Actividad'!$N203*'FE Sectorial'!M206</f>
        <v>0</v>
      </c>
      <c r="M207" s="92">
        <f>'Datos Actividad'!$N203*'FE Sectorial'!N206</f>
        <v>20365.526191408284</v>
      </c>
      <c r="N207" s="92">
        <f>'Datos Actividad'!$N203*'FE Sectorial'!O206</f>
        <v>0</v>
      </c>
      <c r="O207" s="87">
        <f>IF(D207&lt;400,H207+I207*'Factores generales'!$M$41+J207*'Factores generales'!$N$41,I207*'Factores generales'!$M$41+J207*'Factores generales'!$N$41)</f>
        <v>721360.25915825379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Actividad'!$N205*'FE Sectorial'!I208</f>
        <v>1937409.1381733851</v>
      </c>
      <c r="I209" s="92">
        <f>'Datos Actividad'!$N205*'FE Sectorial'!J208</f>
        <v>1178.8128594344307</v>
      </c>
      <c r="J209" s="92">
        <f>'Datos Actividad'!$N205*'FE Sectorial'!K208</f>
        <v>30.343573473341944</v>
      </c>
      <c r="K209" s="92">
        <f>'Datos Actividad'!$N205*'FE Sectorial'!L208</f>
        <v>0</v>
      </c>
      <c r="L209" s="92">
        <f>'Datos Actividad'!$N205*'FE Sectorial'!M208</f>
        <v>0</v>
      </c>
      <c r="M209" s="92">
        <f>'Datos Actividad'!$N205*'FE Sectorial'!N208</f>
        <v>997.80126063076909</v>
      </c>
      <c r="N209" s="92">
        <f>'Datos Actividad'!$N205*'FE Sectorial'!O208</f>
        <v>0</v>
      </c>
      <c r="O209" s="87">
        <f>IF(D209&lt;400,H209+I209*'Factores generales'!$M$41+J209*'Factores generales'!$N$41,I209*'Factores generales'!$M$41+J209*'Factores generales'!$N$41)</f>
        <v>1971570.7159982442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Actividad'!$N209*'FE Sectorial'!I212</f>
        <v>3215172.7017227639</v>
      </c>
      <c r="I213" s="92">
        <f>'Datos Actividad'!$N209*'FE Sectorial'!J212</f>
        <v>0</v>
      </c>
      <c r="J213" s="92">
        <f>'Datos Actividad'!$N209*'FE Sectorial'!K212</f>
        <v>0</v>
      </c>
      <c r="K213" s="92">
        <f>'Datos Actividad'!$N209*'FE Sectorial'!L212</f>
        <v>0</v>
      </c>
      <c r="L213" s="92">
        <f>'Datos Actividad'!$N209*'FE Sectorial'!M212</f>
        <v>0</v>
      </c>
      <c r="M213" s="92">
        <f>'Datos Actividad'!$N209*'FE Sectorial'!N212</f>
        <v>0</v>
      </c>
      <c r="N213" s="92">
        <f>'Datos Actividad'!$N209*'FE Sectorial'!O212</f>
        <v>0</v>
      </c>
      <c r="O213" s="87">
        <f>IF(D213&lt;400,H213+I213*'Factores generales'!$M$41+J213*'Factores generales'!$N$41,I213*'Factores generales'!$M$41+J213*'Factores generales'!$N$41)</f>
        <v>3215172.7017227639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Actividad'!$N211*'FE Sectorial'!I214</f>
        <v>190.21447326039055</v>
      </c>
      <c r="I215" s="92">
        <f>'Datos Actividad'!$N211*'FE Sectorial'!J214</f>
        <v>7215.1186963734854</v>
      </c>
      <c r="J215" s="92">
        <f>'Datos Actividad'!$N211*'FE Sectorial'!K214</f>
        <v>0</v>
      </c>
      <c r="K215" s="92">
        <f>'Datos Actividad'!$N211*'FE Sectorial'!L214</f>
        <v>0</v>
      </c>
      <c r="L215" s="92">
        <f>'Datos Actividad'!$N211*'FE Sectorial'!M214</f>
        <v>0</v>
      </c>
      <c r="M215" s="92">
        <f>'Datos Actividad'!$N211*'FE Sectorial'!N214</f>
        <v>284.43074603156072</v>
      </c>
      <c r="N215" s="92">
        <f>'Datos Actividad'!$N211*'FE Sectorial'!O214</f>
        <v>0</v>
      </c>
      <c r="O215" s="87">
        <f>IF(D215&lt;400,H215+I215*'Factores generales'!$M$41+J215*'Factores generales'!$N$41,I215*'Factores generales'!$M$41+J215*'Factores generales'!$N$41)</f>
        <v>151707.70709710359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Actividad'!$N214*'FE Sectorial'!I217</f>
        <v>72270.843221239731</v>
      </c>
      <c r="I218" s="92">
        <f>'Datos Actividad'!$N214*'FE Sectorial'!J217</f>
        <v>45.469408401480784</v>
      </c>
      <c r="J218" s="92">
        <f>'Datos Actividad'!$N214*'FE Sectorial'!K217</f>
        <v>1.2871262687679057</v>
      </c>
      <c r="K218" s="92">
        <f>'Datos Actividad'!$N214*'FE Sectorial'!L217</f>
        <v>0</v>
      </c>
      <c r="L218" s="92">
        <f>'Datos Actividad'!$N214*'FE Sectorial'!M217</f>
        <v>0</v>
      </c>
      <c r="M218" s="92">
        <f>'Datos Actividad'!$N214*'FE Sectorial'!N217</f>
        <v>37.863243561891387</v>
      </c>
      <c r="N218" s="92">
        <f>'Datos Actividad'!$N214*'FE Sectorial'!O217</f>
        <v>0</v>
      </c>
      <c r="O218" s="87">
        <f>IF(D218&lt;400,H218+I218*'Factores generales'!$M$41+J218*'Factores generales'!$N$41,I218*'Factores generales'!$M$41+J218*'Factores generales'!$N$41)</f>
        <v>73624.709940988876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Actividad'!$N216*'FE Sectorial'!I219</f>
        <v>182921.6302376297</v>
      </c>
      <c r="I220" s="92">
        <f>'Datos Actividad'!$N216*'FE Sectorial'!J219</f>
        <v>123.42596205040475</v>
      </c>
      <c r="J220" s="92">
        <f>'Datos Actividad'!$N216*'FE Sectorial'!K219</f>
        <v>2.0099059430943225</v>
      </c>
      <c r="K220" s="92">
        <f>'Datos Actividad'!$N216*'FE Sectorial'!L219</f>
        <v>0</v>
      </c>
      <c r="L220" s="92">
        <f>'Datos Actividad'!$N216*'FE Sectorial'!M219</f>
        <v>0</v>
      </c>
      <c r="M220" s="92">
        <f>'Datos Actividad'!$N216*'FE Sectorial'!N219</f>
        <v>97.855184310796005</v>
      </c>
      <c r="N220" s="92">
        <f>'Datos Actividad'!$N216*'FE Sectorial'!O219</f>
        <v>0</v>
      </c>
      <c r="O220" s="87">
        <f>IF(D220&lt;400,H220+I220*'Factores generales'!$M$41+J220*'Factores generales'!$N$41,I220*'Factores generales'!$M$41+J220*'Factores generales'!$N$41)</f>
        <v>186136.64628304745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10102870.945646891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3876637.1763913594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2297976.4397405093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1578660.7366508499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120780722.81905888</v>
      </c>
      <c r="I5" s="138">
        <f t="shared" si="0"/>
        <v>371260.57903051632</v>
      </c>
      <c r="J5" s="138">
        <f t="shared" si="0"/>
        <v>2867.1518028013061</v>
      </c>
      <c r="K5" s="138">
        <f t="shared" si="0"/>
        <v>672658.2133597174</v>
      </c>
      <c r="L5" s="138">
        <f t="shared" si="0"/>
        <v>1689376.6274416021</v>
      </c>
      <c r="M5" s="138">
        <f t="shared" si="0"/>
        <v>361564.79015943623</v>
      </c>
      <c r="N5" s="138">
        <f t="shared" si="0"/>
        <v>55325.595750369001</v>
      </c>
      <c r="O5" s="138">
        <f t="shared" si="0"/>
        <v>129466012.03756812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115278928.91585869</v>
      </c>
      <c r="I6" s="124">
        <f t="shared" si="1"/>
        <v>18423.447356906192</v>
      </c>
      <c r="J6" s="124">
        <f t="shared" si="1"/>
        <v>2831.3944493060844</v>
      </c>
      <c r="K6" s="124">
        <f t="shared" si="1"/>
        <v>671144.09364038869</v>
      </c>
      <c r="L6" s="124">
        <f t="shared" si="1"/>
        <v>1686954.0465748021</v>
      </c>
      <c r="M6" s="124">
        <f t="shared" si="1"/>
        <v>245109.9379964548</v>
      </c>
      <c r="N6" s="124">
        <f t="shared" si="1"/>
        <v>31099.787082369003</v>
      </c>
      <c r="O6" s="124">
        <f t="shared" si="1"/>
        <v>116543553.58963859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31385773.132097047</v>
      </c>
      <c r="I7" s="129">
        <f t="shared" si="2"/>
        <v>595.00644490771617</v>
      </c>
      <c r="J7" s="129">
        <f t="shared" si="2"/>
        <v>73.949233745468092</v>
      </c>
      <c r="K7" s="129">
        <f t="shared" si="2"/>
        <v>84350.315528175881</v>
      </c>
      <c r="L7" s="129">
        <f t="shared" si="2"/>
        <v>10871.59977518714</v>
      </c>
      <c r="M7" s="129">
        <f t="shared" si="2"/>
        <v>2746.4701972125404</v>
      </c>
      <c r="N7" s="129">
        <f t="shared" si="2"/>
        <v>5896.5584077668072</v>
      </c>
      <c r="O7" s="129">
        <f t="shared" si="2"/>
        <v>31421192.529901203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19111801.519485839</v>
      </c>
      <c r="I8" s="134">
        <f t="shared" si="3"/>
        <v>354.79190052000007</v>
      </c>
      <c r="J8" s="134">
        <f t="shared" si="3"/>
        <v>40.528069272000003</v>
      </c>
      <c r="K8" s="134">
        <f t="shared" si="3"/>
        <v>51431.884107999998</v>
      </c>
      <c r="L8" s="134">
        <f t="shared" si="3"/>
        <v>6724.560299400001</v>
      </c>
      <c r="M8" s="134">
        <f t="shared" si="3"/>
        <v>1691.4533446000003</v>
      </c>
      <c r="N8" s="134">
        <f t="shared" si="3"/>
        <v>2854.3755999999998</v>
      </c>
      <c r="O8" s="134">
        <f t="shared" si="3"/>
        <v>19131815.850871079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19111801.519485839</v>
      </c>
      <c r="I9" s="93">
        <f t="shared" ref="I9:O9" si="4">I10+I11+I12+I13+I14</f>
        <v>354.79190052000007</v>
      </c>
      <c r="J9" s="93">
        <f t="shared" si="4"/>
        <v>40.528069272000003</v>
      </c>
      <c r="K9" s="93">
        <f t="shared" si="4"/>
        <v>51431.884107999998</v>
      </c>
      <c r="L9" s="93">
        <f t="shared" si="4"/>
        <v>6724.560299400001</v>
      </c>
      <c r="M9" s="93">
        <f t="shared" si="4"/>
        <v>1691.4533446000003</v>
      </c>
      <c r="N9" s="93">
        <f t="shared" si="4"/>
        <v>2854.3755999999998</v>
      </c>
      <c r="O9" s="93">
        <f t="shared" si="4"/>
        <v>19131815.850871079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Actividad'!$O6*'FE Sectorial'!$H9*'FE Sectorial'!I9*'FE Sectorial'!$P9/1000</f>
        <v>170430.04846559998</v>
      </c>
      <c r="I10" s="92">
        <f>'Datos Actividad'!$O6*'FE Sectorial'!$H9*'FE Sectorial'!J9/1000/1000</f>
        <v>1.8383532</v>
      </c>
      <c r="J10" s="92">
        <f>'Datos Actividad'!$O6*'FE Sectorial'!$H9*'FE Sectorial'!K9/1000/1000</f>
        <v>2.7575298000000004</v>
      </c>
      <c r="K10" s="92">
        <f>'Datos Actividad'!$O6*'FE Sectorial'!$H9*'FE Sectorial'!L9/1000/1000</f>
        <v>551.50595999999996</v>
      </c>
      <c r="L10" s="92">
        <f>'Datos Actividad'!$O6*'FE Sectorial'!$H9*'FE Sectorial'!M9/1000/1000</f>
        <v>36.767063999999998</v>
      </c>
      <c r="M10" s="92">
        <f>'Datos Actividad'!$O6*'FE Sectorial'!$H9*'FE Sectorial'!N9/1000/1000</f>
        <v>9.1917659999999994</v>
      </c>
      <c r="N10" s="92">
        <f>'Datos Actividad'!$O6*'FE Sectorial'!$H9*'FE Sectorial'!O9/1000/1000</f>
        <v>1759.9738</v>
      </c>
      <c r="O10" s="92">
        <f>IF(D10&lt;400,H10+I10*'Factores generales'!$M$41+J10*'Factores generales'!$N$41,I10*'Factores generales'!$M$41+J10*'Factores generales'!$N$41)</f>
        <v>171323.48812079997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Actividad'!$O7*'FE Sectorial'!$H10*'FE Sectorial'!I10*'FE Sectorial'!$P10/1000</f>
        <v>244642.36153499997</v>
      </c>
      <c r="I11" s="17">
        <f>'Datos Actividad'!$O7*'FE Sectorial'!$H10*'FE Sectorial'!J10/1000/1000</f>
        <v>10.004595</v>
      </c>
      <c r="J11" s="17">
        <f>'Datos Actividad'!$O7*'FE Sectorial'!$H10*'FE Sectorial'!K10/1000/1000</f>
        <v>2.0009190000000001</v>
      </c>
      <c r="K11" s="17">
        <f>'Datos Actividad'!$O7*'FE Sectorial'!$H10*'FE Sectorial'!L10/1000/1000</f>
        <v>666.97299999999996</v>
      </c>
      <c r="L11" s="17">
        <f>'Datos Actividad'!$O7*'FE Sectorial'!$H10*'FE Sectorial'!M10/1000/1000</f>
        <v>50.022974999999995</v>
      </c>
      <c r="M11" s="17">
        <f>'Datos Actividad'!$O7*'FE Sectorial'!$H10*'FE Sectorial'!N10/1000/1000</f>
        <v>16.674325</v>
      </c>
      <c r="N11" s="17">
        <f>'Datos Actividad'!$O7*'FE Sectorial'!$H10*'FE Sectorial'!O10/1000/1000</f>
        <v>120.9858</v>
      </c>
      <c r="O11" s="17">
        <f>IF(D11&lt;400,H11+I11*'Factores generales'!$M$41+J11*'Factores generales'!$N$41,I11*'Factores generales'!$M$41+J11*'Factores generales'!$N$41)</f>
        <v>245472.74291999999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Actividad'!$O8*'FE Sectorial'!$H11*'FE Sectorial'!I11*'FE Sectorial'!$P11/1000</f>
        <v>376674.32080080005</v>
      </c>
      <c r="I12" s="92">
        <f>'Datos Actividad'!$O8*'FE Sectorial'!$H11*'FE Sectorial'!J11/1000/1000</f>
        <v>14.747252399999999</v>
      </c>
      <c r="J12" s="92">
        <f>'Datos Actividad'!$O8*'FE Sectorial'!$H11*'FE Sectorial'!K11/1000/1000</f>
        <v>2.9494504799999999</v>
      </c>
      <c r="K12" s="92">
        <f>'Datos Actividad'!$O8*'FE Sectorial'!$H11*'FE Sectorial'!L11/1000/1000</f>
        <v>983.15016000000003</v>
      </c>
      <c r="L12" s="92">
        <f>'Datos Actividad'!$O8*'FE Sectorial'!$H11*'FE Sectorial'!M11/1000/1000</f>
        <v>73.736261999999996</v>
      </c>
      <c r="M12" s="92">
        <f>'Datos Actividad'!$O8*'FE Sectorial'!$H11*'FE Sectorial'!N11/1000/1000</f>
        <v>24.578754</v>
      </c>
      <c r="N12" s="92">
        <f>'Datos Actividad'!$O8*'FE Sectorial'!$H11*'FE Sectorial'!O11/1000/1000</f>
        <v>973.41600000000005</v>
      </c>
      <c r="O12" s="92">
        <f>IF(D12&lt;400,H12+I12*'Factores generales'!$M$41+J12*'Factores generales'!$N$41,I12*'Factores generales'!$M$41+J12*'Factores generales'!$N$41)</f>
        <v>377898.34275000007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Actividad'!$O9*'FE Sectorial'!$H12*'FE Sectorial'!I12*'FE Sectorial'!$P12/1000</f>
        <v>18320054.788684439</v>
      </c>
      <c r="I13" s="17">
        <f>'Datos Actividad'!$O9*'FE Sectorial'!$H12*'FE Sectorial'!J12/1000/1000</f>
        <v>328.20169992000007</v>
      </c>
      <c r="J13" s="17">
        <f>'Datos Actividad'!$O9*'FE Sectorial'!$H12*'FE Sectorial'!K12/1000/1000</f>
        <v>32.820169992000004</v>
      </c>
      <c r="K13" s="17">
        <f>'Datos Actividad'!$O9*'FE Sectorial'!$H12*'FE Sectorial'!L12/1000/1000</f>
        <v>49230.254988000001</v>
      </c>
      <c r="L13" s="17">
        <f>'Datos Actividad'!$O9*'FE Sectorial'!$H12*'FE Sectorial'!M12/1000/1000</f>
        <v>6564.0339984000011</v>
      </c>
      <c r="M13" s="17">
        <f>'Datos Actividad'!$O9*'FE Sectorial'!$H12*'FE Sectorial'!N12/1000/1000</f>
        <v>1641.0084996000003</v>
      </c>
      <c r="N13" s="17">
        <f>'Datos Actividad'!$O9*'FE Sectorial'!$H12*'FE Sectorial'!O12/1000/1000</f>
        <v>0</v>
      </c>
      <c r="O13" s="17">
        <f>IF(D13&lt;400,H13+I13*'Factores generales'!$M$41+J13*'Factores generales'!$N$41,I13*'Factores generales'!$M$41+J13*'Factores generales'!$N$41)</f>
        <v>18337121.277080279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Actividad'!$O10*'FE Sectorial'!$H13*'FE Sectorial'!I13*'FE Sectorial'!$P13/1000</f>
        <v>0</v>
      </c>
      <c r="I14" s="147">
        <f>'Datos Actividad'!$O10*'FE Sectorial'!$H13*'FE Sectorial'!J13/1000/1000</f>
        <v>0</v>
      </c>
      <c r="J14" s="147">
        <f>'Datos Actividad'!$O10*'FE Sectorial'!$H13*'FE Sectorial'!K13/1000/1000</f>
        <v>0</v>
      </c>
      <c r="K14" s="147">
        <f>'Datos Actividad'!$O10*'FE Sectorial'!$H13*'FE Sectorial'!L13/1000/1000</f>
        <v>0</v>
      </c>
      <c r="L14" s="147">
        <f>'Datos Actividad'!$O10*'FE Sectorial'!$H13*'FE Sectorial'!M13/1000/1000</f>
        <v>0</v>
      </c>
      <c r="M14" s="147">
        <f>'Datos Actividad'!$O10*'FE Sectorial'!$H13*'FE Sectorial'!N13/1000/1000</f>
        <v>0</v>
      </c>
      <c r="N14" s="147">
        <f>'Datos Actividad'!$O10*'FE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4636859.3059501201</v>
      </c>
      <c r="I17" s="134">
        <f t="shared" ref="I17:O17" si="5">SUM(I18:I25)</f>
        <v>103.64483111991947</v>
      </c>
      <c r="J17" s="134">
        <f t="shared" si="5"/>
        <v>18.735647591773166</v>
      </c>
      <c r="K17" s="134">
        <f t="shared" si="5"/>
        <v>12359.400059836906</v>
      </c>
      <c r="L17" s="134">
        <f t="shared" si="5"/>
        <v>1421.4869754312072</v>
      </c>
      <c r="M17" s="134">
        <f t="shared" si="5"/>
        <v>373.46645627355679</v>
      </c>
      <c r="N17" s="134">
        <f t="shared" si="5"/>
        <v>2360.7530338685019</v>
      </c>
      <c r="O17" s="134">
        <f t="shared" si="5"/>
        <v>4644843.8981570872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Actividad'!$O14*'FE Sectorial'!$H17*'FE Sectorial'!I17*'FE Sectorial'!P17/1000</f>
        <v>972294.83657063998</v>
      </c>
      <c r="I18" s="17">
        <f>'Datos Actividad'!$O14*'FE Sectorial'!$H17*'FE Sectorial'!J17/1000/1000</f>
        <v>17.418551520000001</v>
      </c>
      <c r="J18" s="17">
        <f>'Datos Actividad'!$O14*'FE Sectorial'!$H17*'FE Sectorial'!K17/1000/1000</f>
        <v>1.7418551520000001</v>
      </c>
      <c r="K18" s="17">
        <f>'Datos Actividad'!$O14*'FE Sectorial'!$H17*'FE Sectorial'!L17/1000/1000</f>
        <v>2612.7827280000001</v>
      </c>
      <c r="L18" s="17">
        <f>'Datos Actividad'!$O14*'FE Sectorial'!$H17*'FE Sectorial'!M17/1000/1000</f>
        <v>348.3710304</v>
      </c>
      <c r="M18" s="17">
        <f>'Datos Actividad'!$O14*'FE Sectorial'!$H17*'FE Sectorial'!N17/1000/1000</f>
        <v>87.092757599999999</v>
      </c>
      <c r="N18" s="17">
        <f>'Datos Actividad'!$O14*'FE Sectorial'!$H17*'FE Sectorial'!O17/1000/1000</f>
        <v>0</v>
      </c>
      <c r="O18" s="87">
        <f>IF(D18&lt;400,H18+I18*'Factores generales'!$M$41+J18*'Factores generales'!$N$41,I18*'Factores generales'!$M$41+J18*'Factores generales'!$N$41)</f>
        <v>973200.60124968004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Actividad'!$O15*'FE Sectorial'!$H18*'FE Sectorial'!I18*'FE Sectorial'!P18/1000</f>
        <v>51270.219452054793</v>
      </c>
      <c r="I19" s="17">
        <f>'Datos Actividad'!$O15*'FE Sectorial'!$H18*'FE Sectorial'!J18/1000/1000</f>
        <v>0.82073059360730571</v>
      </c>
      <c r="J19" s="17">
        <f>'Datos Actividad'!$O15*'FE Sectorial'!$H18*'FE Sectorial'!K18/1000/1000</f>
        <v>8.2073059360730588E-2</v>
      </c>
      <c r="K19" s="17">
        <f>'Datos Actividad'!$O15*'FE Sectorial'!$H18*'FE Sectorial'!L18/1000/1000</f>
        <v>123.10958904109587</v>
      </c>
      <c r="L19" s="17">
        <f>'Datos Actividad'!$O15*'FE Sectorial'!$H18*'FE Sectorial'!M18/1000/1000</f>
        <v>16.414611872146114</v>
      </c>
      <c r="M19" s="17">
        <f>'Datos Actividad'!$O15*'FE Sectorial'!$H18*'FE Sectorial'!N18/1000/1000</f>
        <v>4.1036529680365286</v>
      </c>
      <c r="N19" s="17">
        <f>'Datos Actividad'!$O15*'FE Sectorial'!$H18*'FE Sectorial'!O18/1000/1000</f>
        <v>3.4703196347031966</v>
      </c>
      <c r="O19" s="87">
        <f>IF(D19&lt;400,H19+I19*'Factores generales'!$M$41+J19*'Factores generales'!$N$41,I19*'Factores generales'!$M$41+J19*'Factores generales'!$N$41)</f>
        <v>51312.897442922374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Actividad'!$O16*'FE Sectorial'!$H19*'FE Sectorial'!I19*'FE Sectorial'!P19/1000</f>
        <v>2240944.2878375514</v>
      </c>
      <c r="I20" s="17">
        <f>'Datos Actividad'!$O16*'FE Sectorial'!$H19*'FE Sectorial'!J19/1000/1000</f>
        <v>39.100786708499996</v>
      </c>
      <c r="J20" s="17">
        <f>'Datos Actividad'!$O16*'FE Sectorial'!$H19*'FE Sectorial'!K19/1000/1000</f>
        <v>3.9100786708499999</v>
      </c>
      <c r="K20" s="17">
        <f>'Datos Actividad'!$O16*'FE Sectorial'!$H19*'FE Sectorial'!L19/1000/1000</f>
        <v>5865.118006275</v>
      </c>
      <c r="L20" s="17">
        <f>'Datos Actividad'!$O16*'FE Sectorial'!$H19*'FE Sectorial'!M19/1000/1000</f>
        <v>782.01573416999997</v>
      </c>
      <c r="M20" s="17">
        <f>'Datos Actividad'!$O16*'FE Sectorial'!$H19*'FE Sectorial'!N19/1000/1000</f>
        <v>195.50393354249999</v>
      </c>
      <c r="N20" s="17">
        <f>'Datos Actividad'!$O16*'FE Sectorial'!$H19*'FE Sectorial'!O19/1000/1000</f>
        <v>0</v>
      </c>
      <c r="O20" s="87">
        <f>IF(D20&lt;400,H20+I20*'Factores generales'!$M$41+J20*'Factores generales'!$N$41,I20*'Factores generales'!$M$41+J20*'Factores generales'!$N$41)</f>
        <v>2242977.5287463935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Actividad'!$O17*'FE Sectorial'!$H20*'FE Sectorial'!I20*'FE Sectorial'!P20/1000</f>
        <v>3030.6975728155339</v>
      </c>
      <c r="I21" s="17">
        <f>'Datos Actividad'!$O17*'FE Sectorial'!$H20*'FE Sectorial'!J20/1000/1000</f>
        <v>0.12844660194174756</v>
      </c>
      <c r="J21" s="17">
        <f>'Datos Actividad'!$O17*'FE Sectorial'!$H20*'FE Sectorial'!K20/1000/1000</f>
        <v>2.568932038834951E-2</v>
      </c>
      <c r="K21" s="17">
        <f>'Datos Actividad'!$O17*'FE Sectorial'!$H20*'FE Sectorial'!L20/1000/1000</f>
        <v>8.5631067961165037</v>
      </c>
      <c r="L21" s="17">
        <f>'Datos Actividad'!$O17*'FE Sectorial'!$H20*'FE Sectorial'!M20/1000/1000</f>
        <v>0.64223300970873787</v>
      </c>
      <c r="M21" s="17">
        <f>'Datos Actividad'!$O17*'FE Sectorial'!$H20*'FE Sectorial'!N20/1000/1000</f>
        <v>0.21407766990291258</v>
      </c>
      <c r="N21" s="17">
        <f>'Datos Actividad'!$O17*'FE Sectorial'!$H20*'FE Sectorial'!O20/1000/1000</f>
        <v>1.9417475728155336</v>
      </c>
      <c r="O21" s="87">
        <f>IF(D21&lt;400,H21+I21*'Factores generales'!$M$41+J21*'Factores generales'!$N$41,I21*'Factores generales'!$M$41+J21*'Factores generales'!$N$41)</f>
        <v>3041.3586407766988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Actividad'!$O18*'FE Sectorial'!$H21*'FE Sectorial'!I21*'FE Sectorial'!P21/1000</f>
        <v>23492.097391304349</v>
      </c>
      <c r="I22" s="17">
        <f>'Datos Actividad'!$O18*'FE Sectorial'!$H21*'FE Sectorial'!J21/1000/1000</f>
        <v>1.027246376811594</v>
      </c>
      <c r="J22" s="17">
        <f>'Datos Actividad'!$O18*'FE Sectorial'!$H21*'FE Sectorial'!K21/1000/1000</f>
        <v>0.20544927536231883</v>
      </c>
      <c r="K22" s="17">
        <f>'Datos Actividad'!$O18*'FE Sectorial'!$H21*'FE Sectorial'!L21/1000/1000</f>
        <v>68.483091787439605</v>
      </c>
      <c r="L22" s="17">
        <f>'Datos Actividad'!$O18*'FE Sectorial'!$H21*'FE Sectorial'!M21/1000/1000</f>
        <v>5.1362318840579713</v>
      </c>
      <c r="M22" s="17">
        <f>'Datos Actividad'!$O18*'FE Sectorial'!$H21*'FE Sectorial'!N21/1000/1000</f>
        <v>1.7120772946859901</v>
      </c>
      <c r="N22" s="17">
        <f>'Datos Actividad'!$O18*'FE Sectorial'!$H21*'FE Sectorial'!O21/1000/1000</f>
        <v>1.5458937198067633</v>
      </c>
      <c r="O22" s="87">
        <f>IF(D22&lt;400,H22+I22*'Factores generales'!$M$41+J22*'Factores generales'!$N$41,I22*'Factores generales'!$M$41+J22*'Factores generales'!$N$41)</f>
        <v>23577.358840579709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Actividad'!$O19*'FE Sectorial'!$H22*'FE Sectorial'!I22*'FE Sectorial'!P22/1000</f>
        <v>197938.07657152941</v>
      </c>
      <c r="I23" s="17">
        <f>'Datos Actividad'!$O19*'FE Sectorial'!$H22*'FE Sectorial'!J22/1000/1000</f>
        <v>8.0946336470588243</v>
      </c>
      <c r="J23" s="17">
        <f>'Datos Actividad'!$O19*'FE Sectorial'!$H22*'FE Sectorial'!K22/1000/1000</f>
        <v>1.6189267294117649</v>
      </c>
      <c r="K23" s="17">
        <f>'Datos Actividad'!$O19*'FE Sectorial'!$H22*'FE Sectorial'!L22/1000/1000</f>
        <v>539.64224313725492</v>
      </c>
      <c r="L23" s="17">
        <f>'Datos Actividad'!$O19*'FE Sectorial'!$H22*'FE Sectorial'!M22/1000/1000</f>
        <v>40.473168235294118</v>
      </c>
      <c r="M23" s="17">
        <f>'Datos Actividad'!$O19*'FE Sectorial'!$H22*'FE Sectorial'!N22/1000/1000</f>
        <v>13.491056078431374</v>
      </c>
      <c r="N23" s="17">
        <f>'Datos Actividad'!$O19*'FE Sectorial'!$H22*'FE Sectorial'!O22/1000/1000</f>
        <v>97.888592941176483</v>
      </c>
      <c r="O23" s="87">
        <f>IF(D23&lt;400,H23+I23*'Factores generales'!$M$41+J23*'Factores generales'!$N$41,I23*'Factores generales'!$M$41+J23*'Factores generales'!$N$41)</f>
        <v>198609.93116423531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Actividad'!$O20*'FE Sectorial'!$H23*'FE Sectorial'!I23*'FE Sectorial'!P23/1000</f>
        <v>872948.50417922402</v>
      </c>
      <c r="I24" s="17">
        <f>'Datos Actividad'!$O20*'FE Sectorial'!$H23*'FE Sectorial'!J23/1000/1000</f>
        <v>34.176983172</v>
      </c>
      <c r="J24" s="17">
        <f>'Datos Actividad'!$O20*'FE Sectorial'!$H23*'FE Sectorial'!K23/1000/1000</f>
        <v>6.8353966344000003</v>
      </c>
      <c r="K24" s="17">
        <f>'Datos Actividad'!$O20*'FE Sectorial'!$H23*'FE Sectorial'!L23/1000/1000</f>
        <v>2278.4655447999999</v>
      </c>
      <c r="L24" s="17">
        <f>'Datos Actividad'!$O20*'FE Sectorial'!$H23*'FE Sectorial'!M23/1000/1000</f>
        <v>170.88491585999998</v>
      </c>
      <c r="M24" s="17">
        <f>'Datos Actividad'!$O20*'FE Sectorial'!$H23*'FE Sectorial'!N23/1000/1000</f>
        <v>56.961638619999995</v>
      </c>
      <c r="N24" s="17">
        <f>'Datos Actividad'!$O20*'FE Sectorial'!$H23*'FE Sectorial'!O23/1000/1000</f>
        <v>2255.9064800000001</v>
      </c>
      <c r="O24" s="87">
        <f>IF(D24&lt;400,H24+I24*'Factores generales'!$M$41+J24*'Factores generales'!$N$41,I24*'Factores generales'!$M$41+J24*'Factores generales'!$N$41)</f>
        <v>875785.19378250011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Actividad'!$O21*'FE Sectorial'!$H24*'FE Sectorial'!I24*'FE Sectorial'!P24/1000</f>
        <v>274940.58637500007</v>
      </c>
      <c r="I25" s="17">
        <f>'Datos Actividad'!$O21*'FE Sectorial'!$H24*'FE Sectorial'!J24/1000/1000</f>
        <v>2.8774525000000004</v>
      </c>
      <c r="J25" s="17">
        <f>'Datos Actividad'!$O21*'FE Sectorial'!$H24*'FE Sectorial'!K24/1000/1000</f>
        <v>4.3161787500000006</v>
      </c>
      <c r="K25" s="17">
        <f>'Datos Actividad'!$O21*'FE Sectorial'!$H24*'FE Sectorial'!L24/1000/1000</f>
        <v>863.23575000000017</v>
      </c>
      <c r="L25" s="17">
        <f>'Datos Actividad'!$O21*'FE Sectorial'!$H24*'FE Sectorial'!M24/1000/1000</f>
        <v>57.549050000000008</v>
      </c>
      <c r="M25" s="17">
        <f>'Datos Actividad'!$O21*'FE Sectorial'!$H24*'FE Sectorial'!N24/1000/1000</f>
        <v>14.387262500000002</v>
      </c>
      <c r="N25" s="17">
        <f>'Datos Actividad'!$O21*'FE Sectorial'!$H24*'FE Sectorial'!O24/1000/1000</f>
        <v>0</v>
      </c>
      <c r="O25" s="87">
        <f>IF(D25&lt;400,H25+I25*'Factores generales'!$M$41+J25*'Factores generales'!$N$41,I25*'Factores generales'!$M$41+J25*'Factores generales'!$N$41)</f>
        <v>276339.0282900001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7637112.306661088</v>
      </c>
      <c r="I26" s="134">
        <f t="shared" ref="I26:O26" si="6">I27+I28</f>
        <v>136.56971326779663</v>
      </c>
      <c r="J26" s="134">
        <f t="shared" si="6"/>
        <v>14.685516881694918</v>
      </c>
      <c r="K26" s="134">
        <f t="shared" si="6"/>
        <v>20559.03136033898</v>
      </c>
      <c r="L26" s="134">
        <f t="shared" si="6"/>
        <v>2725.5525003559324</v>
      </c>
      <c r="M26" s="134">
        <f t="shared" si="6"/>
        <v>681.55039633898309</v>
      </c>
      <c r="N26" s="134">
        <f t="shared" si="6"/>
        <v>681.42977389830503</v>
      </c>
      <c r="O26" s="134">
        <f t="shared" si="6"/>
        <v>7644532.7808730379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7637112.306661088</v>
      </c>
      <c r="I28" s="15">
        <f t="shared" si="7"/>
        <v>136.56971326779663</v>
      </c>
      <c r="J28" s="15">
        <f t="shared" si="7"/>
        <v>14.685516881694918</v>
      </c>
      <c r="K28" s="15">
        <f t="shared" si="7"/>
        <v>20559.03136033898</v>
      </c>
      <c r="L28" s="15">
        <f t="shared" si="7"/>
        <v>2725.5525003559324</v>
      </c>
      <c r="M28" s="15">
        <f t="shared" si="7"/>
        <v>681.55039633898309</v>
      </c>
      <c r="N28" s="15">
        <f t="shared" si="7"/>
        <v>681.42977389830503</v>
      </c>
      <c r="O28" s="15">
        <f t="shared" si="7"/>
        <v>7644532.7808730379</v>
      </c>
    </row>
    <row r="29" spans="1:15" outlineLevel="1" x14ac:dyDescent="0.25">
      <c r="B29" s="1" t="s">
        <v>7</v>
      </c>
      <c r="G29" s="1"/>
      <c r="H29" s="95">
        <f t="shared" ref="H29:O29" si="8">H30+H31</f>
        <v>71676.185400488132</v>
      </c>
      <c r="I29" s="95">
        <f t="shared" si="8"/>
        <v>0.95814946779661014</v>
      </c>
      <c r="J29" s="95">
        <f t="shared" si="8"/>
        <v>1.1105446016949154</v>
      </c>
      <c r="K29" s="95">
        <f t="shared" si="8"/>
        <v>228.81004033898307</v>
      </c>
      <c r="L29" s="95">
        <f t="shared" si="8"/>
        <v>15.393609355932204</v>
      </c>
      <c r="M29" s="95">
        <f t="shared" si="8"/>
        <v>3.9531073389830507</v>
      </c>
      <c r="N29" s="95">
        <f t="shared" si="8"/>
        <v>679.75901389830506</v>
      </c>
      <c r="O29" s="95">
        <f t="shared" si="8"/>
        <v>72040.575365837285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Actividad'!$O26*'FE Sectorial'!$H29*'FE Sectorial'!I29*'FE Sectorial'!P29/1000</f>
        <v>65531.342124488139</v>
      </c>
      <c r="I30" s="17">
        <f>'Datos Actividad'!$O26*'FE Sectorial'!$H29*'FE Sectorial'!J29/1000/1000</f>
        <v>0.70685746779661018</v>
      </c>
      <c r="J30" s="17">
        <f>'Datos Actividad'!$O26*'FE Sectorial'!$H29*'FE Sectorial'!K29/1000/1000</f>
        <v>1.0602862016949155</v>
      </c>
      <c r="K30" s="17">
        <f>'Datos Actividad'!$O26*'FE Sectorial'!$H29*'FE Sectorial'!L29/1000/1000</f>
        <v>212.05724033898306</v>
      </c>
      <c r="L30" s="17">
        <f>'Datos Actividad'!$O26*'FE Sectorial'!$H29*'FE Sectorial'!M29/1000/1000</f>
        <v>14.137149355932204</v>
      </c>
      <c r="M30" s="17">
        <f>'Datos Actividad'!$O26*'FE Sectorial'!$H29*'FE Sectorial'!N29/1000/1000</f>
        <v>3.5342873389830509</v>
      </c>
      <c r="N30" s="17">
        <f>'Datos Actividad'!$O26*'FE Sectorial'!$H29*'FE Sectorial'!O29/1000/1000</f>
        <v>676.72013389830511</v>
      </c>
      <c r="O30" s="87">
        <f>IF(D30&lt;400,H30+I30*'Factores generales'!$M$41+J30*'Factores generales'!$N$41,I30*'Factores generales'!$M$41+J30*'Factores generales'!$N$41)</f>
        <v>65874.874853837289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Actividad'!$O27*'FE Sectorial'!$H30*'FE Sectorial'!I30*'FE Sectorial'!P30/1000</f>
        <v>6144.8432759999987</v>
      </c>
      <c r="I31" s="17">
        <f>'Datos Actividad'!$O27*'FE Sectorial'!$H30*'FE Sectorial'!J30/1000/1000</f>
        <v>0.25129199999999996</v>
      </c>
      <c r="J31" s="17">
        <f>'Datos Actividad'!$O27*'FE Sectorial'!$H30*'FE Sectorial'!K30/1000/1000</f>
        <v>5.0258399999999988E-2</v>
      </c>
      <c r="K31" s="17">
        <f>'Datos Actividad'!$O27*'FE Sectorial'!$H30*'FE Sectorial'!L30/1000/1000</f>
        <v>16.752799999999997</v>
      </c>
      <c r="L31" s="17">
        <f>'Datos Actividad'!$O27*'FE Sectorial'!$H30*'FE Sectorial'!M30/1000/1000</f>
        <v>1.2564599999999999</v>
      </c>
      <c r="M31" s="17">
        <f>'Datos Actividad'!$O27*'FE Sectorial'!$H30*'FE Sectorial'!N30/1000/1000</f>
        <v>0.41881999999999991</v>
      </c>
      <c r="N31" s="17">
        <f>'Datos Actividad'!$O27*'FE Sectorial'!$H30*'FE Sectorial'!O30/1000/1000</f>
        <v>3.0388799999999998</v>
      </c>
      <c r="O31" s="87">
        <f>IF(D31&lt;400,H31+I31*'Factores generales'!$M$41+J31*'Factores generales'!$N$41,I31*'Factores generales'!$M$41+J31*'Factores generales'!$N$41)</f>
        <v>6165.7005119999985</v>
      </c>
    </row>
    <row r="32" spans="1:15" outlineLevel="1" x14ac:dyDescent="0.25">
      <c r="B32" s="1" t="s">
        <v>6</v>
      </c>
      <c r="G32" s="1"/>
      <c r="H32" s="17">
        <f>H33+H34+H35</f>
        <v>7565436.1212606002</v>
      </c>
      <c r="I32" s="17">
        <f t="shared" ref="I32:O32" si="9">I33+I34+I35</f>
        <v>135.61156380000003</v>
      </c>
      <c r="J32" s="17">
        <f t="shared" si="9"/>
        <v>13.574972280000003</v>
      </c>
      <c r="K32" s="17">
        <f t="shared" si="9"/>
        <v>20330.221319999997</v>
      </c>
      <c r="L32" s="17">
        <f t="shared" si="9"/>
        <v>2710.158891</v>
      </c>
      <c r="M32" s="17">
        <f t="shared" si="9"/>
        <v>677.59728900000005</v>
      </c>
      <c r="N32" s="17">
        <f t="shared" si="9"/>
        <v>1.67076</v>
      </c>
      <c r="O32" s="17">
        <f t="shared" si="9"/>
        <v>7572492.2055072002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Actividad'!$O29*'FE Sectorial'!$H32*'FE Sectorial'!I32*'FE Sectorial'!P32/1000</f>
        <v>7562057.7192336004</v>
      </c>
      <c r="I33" s="17">
        <f>'Datos Actividad'!$O29*'FE Sectorial'!$H32*'FE Sectorial'!J32/1000/1000</f>
        <v>135.47340480000003</v>
      </c>
      <c r="J33" s="17">
        <f>'Datos Actividad'!$O29*'FE Sectorial'!$H32*'FE Sectorial'!K32/1000/1000</f>
        <v>13.547340480000003</v>
      </c>
      <c r="K33" s="17">
        <f>'Datos Actividad'!$O29*'FE Sectorial'!$H32*'FE Sectorial'!L32/1000/1000</f>
        <v>20321.010719999998</v>
      </c>
      <c r="L33" s="17">
        <f>'Datos Actividad'!$O29*'FE Sectorial'!$H32*'FE Sectorial'!M32/1000/1000</f>
        <v>2709.4680960000001</v>
      </c>
      <c r="M33" s="17">
        <f>'Datos Actividad'!$O29*'FE Sectorial'!$H32*'FE Sectorial'!N32/1000/1000</f>
        <v>677.36702400000001</v>
      </c>
      <c r="N33" s="17">
        <f>'Datos Actividad'!$O29*'FE Sectorial'!$H32*'FE Sectorial'!O32/1000/1000</f>
        <v>0</v>
      </c>
      <c r="O33" s="87">
        <f>IF(D33&lt;400,H33+I33*'Factores generales'!$M$41+J33*'Factores generales'!$N$41,I33*'Factores generales'!$M$41+J33*'Factores generales'!$N$41)</f>
        <v>7569102.3362832004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Actividad'!$O30*'FE Sectorial'!$H33*'FE Sectorial'!I33*'FE Sectorial'!P33/1000</f>
        <v>3378.4020269999996</v>
      </c>
      <c r="I34" s="17">
        <f>'Datos Actividad'!$O30*'FE Sectorial'!$H33*'FE Sectorial'!J33/1000/1000</f>
        <v>0.138159</v>
      </c>
      <c r="J34" s="17">
        <f>'Datos Actividad'!$O30*'FE Sectorial'!$H33*'FE Sectorial'!K33/1000/1000</f>
        <v>2.7631799999999998E-2</v>
      </c>
      <c r="K34" s="17">
        <f>'Datos Actividad'!$O30*'FE Sectorial'!$H33*'FE Sectorial'!L33/1000/1000</f>
        <v>9.2106000000000012</v>
      </c>
      <c r="L34" s="17">
        <f>'Datos Actividad'!$O30*'FE Sectorial'!$H33*'FE Sectorial'!M33/1000/1000</f>
        <v>0.69079499999999994</v>
      </c>
      <c r="M34" s="17">
        <f>'Datos Actividad'!$O30*'FE Sectorial'!$H33*'FE Sectorial'!N33/1000/1000</f>
        <v>0.230265</v>
      </c>
      <c r="N34" s="17">
        <f>'Datos Actividad'!$O30*'FE Sectorial'!$H33*'FE Sectorial'!O33/1000/1000</f>
        <v>1.67076</v>
      </c>
      <c r="O34" s="87">
        <f>IF(D34&lt;400,H34+I34*'Factores generales'!$M$41+J34*'Factores generales'!$N$41,I34*'Factores generales'!$M$41+J34*'Factores generales'!$N$41)</f>
        <v>3389.8692239999996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Actividad'!$O31*'FE Sectorial'!$H34*'FE Sectorial'!I34*'FE Sectorial'!P34/1000</f>
        <v>0</v>
      </c>
      <c r="I35" s="17">
        <f>'Datos Actividad'!$O31*'FE Sectorial'!$H34*'FE Sectorial'!J34/1000/1000</f>
        <v>0</v>
      </c>
      <c r="J35" s="17">
        <f>'Datos Actividad'!$O31*'FE Sectorial'!$H34*'FE Sectorial'!K34/1000/1000</f>
        <v>0</v>
      </c>
      <c r="K35" s="17">
        <f>'Datos Actividad'!$O31*'FE Sectorial'!$H34*'FE Sectorial'!L34/1000/1000</f>
        <v>0</v>
      </c>
      <c r="L35" s="17">
        <f>'Datos Actividad'!$O31*'FE Sectorial'!$H34*'FE Sectorial'!M34/1000/1000</f>
        <v>0</v>
      </c>
      <c r="M35" s="17">
        <f>'Datos Actividad'!$O31*'FE Sectorial'!$H34*'FE Sectorial'!N34/1000/1000</f>
        <v>0</v>
      </c>
      <c r="N35" s="17">
        <f>'Datos Actividad'!$O31*'FE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21308263.103187084</v>
      </c>
      <c r="I36" s="129">
        <f t="shared" si="10"/>
        <v>2856.3546977924125</v>
      </c>
      <c r="J36" s="129">
        <f t="shared" si="10"/>
        <v>398.15570119015865</v>
      </c>
      <c r="K36" s="129">
        <f t="shared" si="10"/>
        <v>60937.65440442921</v>
      </c>
      <c r="L36" s="129">
        <f t="shared" si="10"/>
        <v>312550.11832316703</v>
      </c>
      <c r="M36" s="129">
        <f t="shared" si="10"/>
        <v>6087.4222544431232</v>
      </c>
      <c r="N36" s="129">
        <f t="shared" si="10"/>
        <v>6198.6372535589326</v>
      </c>
      <c r="O36" s="129">
        <f t="shared" si="10"/>
        <v>21491674.819209673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6859421.8384585008</v>
      </c>
      <c r="I37" s="134">
        <f t="shared" ref="I37:O37" si="11">SUM(I38:I44)</f>
        <v>78.644288899277882</v>
      </c>
      <c r="J37" s="134">
        <f t="shared" si="11"/>
        <v>27.531841343378087</v>
      </c>
      <c r="K37" s="134">
        <f t="shared" si="11"/>
        <v>13865.041604189932</v>
      </c>
      <c r="L37" s="134">
        <f t="shared" si="11"/>
        <v>4030.5599784169335</v>
      </c>
      <c r="M37" s="134">
        <f t="shared" si="11"/>
        <v>602.12535842621401</v>
      </c>
      <c r="N37" s="134">
        <f t="shared" si="11"/>
        <v>19.67484</v>
      </c>
      <c r="O37" s="134">
        <f t="shared" si="11"/>
        <v>6869608.2393418327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Actividad'!$O34*'FE Sectorial'!$H37*'FE Sectorial'!I37*'FE Sectorial'!P37/1000</f>
        <v>2740416.5896897684</v>
      </c>
      <c r="I38" s="17">
        <f>'Datos Actividad'!$O34*'FE Sectorial'!$H37*'FE Sectorial'!J37/1000/1000</f>
        <v>49.094251823999997</v>
      </c>
      <c r="J38" s="17">
        <f>'Datos Actividad'!$O34*'FE Sectorial'!$H37*'FE Sectorial'!K37/1000/1000</f>
        <v>4.9094251824000006</v>
      </c>
      <c r="K38" s="17">
        <f>'Datos Actividad'!$O34*'FE Sectorial'!$H37*'FE Sectorial'!L37/1000/1000</f>
        <v>7364.1377736000004</v>
      </c>
      <c r="L38" s="17">
        <f>'Datos Actividad'!$O34*'FE Sectorial'!$H37*'FE Sectorial'!M37/1000/1000</f>
        <v>1472.8275547200001</v>
      </c>
      <c r="M38" s="17">
        <f>'Datos Actividad'!$O34*'FE Sectorial'!$H37*'FE Sectorial'!N37/1000/1000</f>
        <v>245.47125912000001</v>
      </c>
      <c r="N38" s="17">
        <f>'Datos Actividad'!$O34*'FE Sectorial'!$H37*'FE Sectorial'!O37/1000/1000</f>
        <v>0</v>
      </c>
      <c r="O38" s="87">
        <f>IF(D38&lt;400,H38+I38*'Factores generales'!$M$41+J38*'Factores generales'!$N$41,I38*'Factores generales'!$M$41+J38*'Factores generales'!$N$41)</f>
        <v>2742969.4907846167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Actividad'!$O35*'FE Sectorial'!$H38*'FE Sectorial'!I38*'FE Sectorial'!P38/1000</f>
        <v>2533942.5282258028</v>
      </c>
      <c r="I39" s="17">
        <f>'Datos Actividad'!$O35*'FE Sectorial'!$H38*'FE Sectorial'!J38/1000/1000</f>
        <v>9.7949073375562552</v>
      </c>
      <c r="J39" s="17">
        <f>'Datos Actividad'!$O35*'FE Sectorial'!$H38*'FE Sectorial'!K38/1000/1000</f>
        <v>0.97949073375562545</v>
      </c>
      <c r="K39" s="17">
        <f>'Datos Actividad'!$O35*'FE Sectorial'!$H38*'FE Sectorial'!L38/1000/1000</f>
        <v>1469.2361006334381</v>
      </c>
      <c r="L39" s="17">
        <f>'Datos Actividad'!$O35*'FE Sectorial'!$H38*'FE Sectorial'!M38/1000/1000</f>
        <v>293.84722012668766</v>
      </c>
      <c r="M39" s="17">
        <f>'Datos Actividad'!$O35*'FE Sectorial'!$H38*'FE Sectorial'!N38/1000/1000</f>
        <v>48.974536687781274</v>
      </c>
      <c r="N39" s="17">
        <f>'Datos Actividad'!$O35*'FE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2534451.8634073557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Actividad'!$O36*'FE Sectorial'!$H39*'FE Sectorial'!I39*'FE Sectorial'!P39/1000</f>
        <v>235188.10112814722</v>
      </c>
      <c r="I40" s="17">
        <f>'Datos Actividad'!$O36*'FE Sectorial'!$H39*'FE Sectorial'!J39/1000/1000</f>
        <v>5.3236475424000007</v>
      </c>
      <c r="J40" s="17">
        <f>'Datos Actividad'!$O36*'FE Sectorial'!$H39*'FE Sectorial'!K39/1000/1000</f>
        <v>0.53236475424000007</v>
      </c>
      <c r="K40" s="17">
        <f>'Datos Actividad'!$O36*'FE Sectorial'!$H39*'FE Sectorial'!L39/1000/1000</f>
        <v>798.54713136000009</v>
      </c>
      <c r="L40" s="17">
        <f>'Datos Actividad'!$O36*'FE Sectorial'!$H39*'FE Sectorial'!M39/1000/1000</f>
        <v>159.709426272</v>
      </c>
      <c r="M40" s="17">
        <f>'Datos Actividad'!$O36*'FE Sectorial'!$H39*'FE Sectorial'!N39/1000/1000</f>
        <v>26.618237712000006</v>
      </c>
      <c r="N40" s="17">
        <f>'Datos Actividad'!$O36*'FE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235464.93080035204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Actividad'!$O37*'FE Sectorial'!$H40*'FE Sectorial'!I40*'FE Sectorial'!P40/1000</f>
        <v>3435.1818929999995</v>
      </c>
      <c r="I41" s="17">
        <f>'Datos Actividad'!$O37*'FE Sectorial'!$H40*'FE Sectorial'!J40/1000/1000</f>
        <v>0.14048099999999999</v>
      </c>
      <c r="J41" s="17">
        <f>'Datos Actividad'!$O37*'FE Sectorial'!$H40*'FE Sectorial'!K40/1000/1000</f>
        <v>2.8096199999999998E-2</v>
      </c>
      <c r="K41" s="17">
        <f>'Datos Actividad'!$O37*'FE Sectorial'!$H40*'FE Sectorial'!L40/1000/1000</f>
        <v>9.3653999999999993</v>
      </c>
      <c r="L41" s="17">
        <f>'Datos Actividad'!$O37*'FE Sectorial'!$H40*'FE Sectorial'!M40/1000/1000</f>
        <v>0.46826999999999996</v>
      </c>
      <c r="M41" s="17">
        <f>'Datos Actividad'!$O37*'FE Sectorial'!$H40*'FE Sectorial'!N40/1000/1000</f>
        <v>0.23413499999999998</v>
      </c>
      <c r="N41" s="17">
        <f>'Datos Actividad'!$O37*'FE Sectorial'!$H40*'FE Sectorial'!O40/1000/1000</f>
        <v>1.6988399999999999</v>
      </c>
      <c r="O41" s="87">
        <f>IF(D41&lt;400,H41+I41*'Factores generales'!$M$41+J41*'Factores generales'!$N$41,I41*'Factores generales'!$M$41+J41*'Factores generales'!$N$41)</f>
        <v>3446.8418159999992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Actividad'!$O38*'FE Sectorial'!$H41*'FE Sectorial'!I41*'FE Sectorial'!P41/1000</f>
        <v>6956.0163288000012</v>
      </c>
      <c r="I42" s="17">
        <f>'Datos Actividad'!$O38*'FE Sectorial'!$H41*'FE Sectorial'!J41/1000/1000</f>
        <v>0.27233640000000003</v>
      </c>
      <c r="J42" s="17">
        <f>'Datos Actividad'!$O38*'FE Sectorial'!$H41*'FE Sectorial'!K41/1000/1000</f>
        <v>5.446728E-2</v>
      </c>
      <c r="K42" s="17">
        <f>'Datos Actividad'!$O38*'FE Sectorial'!$H41*'FE Sectorial'!L41/1000/1000</f>
        <v>18.155759999999997</v>
      </c>
      <c r="L42" s="17">
        <f>'Datos Actividad'!$O38*'FE Sectorial'!$H41*'FE Sectorial'!M41/1000/1000</f>
        <v>0.90778800000000004</v>
      </c>
      <c r="M42" s="17">
        <f>'Datos Actividad'!$O38*'FE Sectorial'!$H41*'FE Sectorial'!N41/1000/1000</f>
        <v>0.45389400000000002</v>
      </c>
      <c r="N42" s="17">
        <f>'Datos Actividad'!$O38*'FE Sectorial'!$H41*'FE Sectorial'!O41/1000/1000</f>
        <v>17.975999999999999</v>
      </c>
      <c r="O42" s="87">
        <f>IF(D42&lt;400,H42+I42*'Factores generales'!$M$41+J42*'Factores generales'!$N$41,I42*'Factores generales'!$M$41+J42*'Factores generales'!$N$41)</f>
        <v>6978.6202500000018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Actividad'!$O39*'FE Sectorial'!$H42*'FE Sectorial'!I42*'FE Sectorial'!P42/1000</f>
        <v>1188527.692026316</v>
      </c>
      <c r="I43" s="17">
        <f>'Datos Actividad'!$O39*'FE Sectorial'!$H42*'FE Sectorial'!J42/1000/1000</f>
        <v>12.438803684210528</v>
      </c>
      <c r="J43" s="17">
        <f>'Datos Actividad'!$O39*'FE Sectorial'!$H42*'FE Sectorial'!K42/1000/1000</f>
        <v>18.658205526315793</v>
      </c>
      <c r="K43" s="17">
        <f>'Datos Actividad'!$O39*'FE Sectorial'!$H42*'FE Sectorial'!L42/1000/1000</f>
        <v>3731.6411052631584</v>
      </c>
      <c r="L43" s="17">
        <f>'Datos Actividad'!$O39*'FE Sectorial'!$H42*'FE Sectorial'!M42/1000/1000</f>
        <v>1865.8205526315792</v>
      </c>
      <c r="M43" s="17">
        <f>'Datos Actividad'!$O39*'FE Sectorial'!$H42*'FE Sectorial'!N42/1000/1000</f>
        <v>248.77607368421053</v>
      </c>
      <c r="N43" s="17">
        <f>'Datos Actividad'!$O39*'FE Sectorial'!$H42*'FE Sectorial'!O42/1000/1000</f>
        <v>0</v>
      </c>
      <c r="O43" s="87">
        <f>IF(D43&lt;400,H43+I43*'Factores generales'!$M$41+J43*'Factores generales'!$N$41,I43*'Factores generales'!$M$41+J43*'Factores generales'!$N$41)</f>
        <v>1194572.9506168424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Actividad'!$O40*'FE Sectorial'!$H43*'FE Sectorial'!I43*'FE Sectorial'!P43/1000</f>
        <v>150955.72916666666</v>
      </c>
      <c r="I44" s="17">
        <f>'Datos Actividad'!$O40*'FE Sectorial'!$H43*'FE Sectorial'!J43/1000/1000</f>
        <v>1.5798611111111112</v>
      </c>
      <c r="J44" s="17">
        <f>'Datos Actividad'!$O40*'FE Sectorial'!$H43*'FE Sectorial'!K43/1000/1000</f>
        <v>2.369791666666667</v>
      </c>
      <c r="K44" s="17">
        <f>'Datos Actividad'!$O40*'FE Sectorial'!$H43*'FE Sectorial'!L43/1000/1000</f>
        <v>473.95833333333331</v>
      </c>
      <c r="L44" s="17">
        <f>'Datos Actividad'!$O40*'FE Sectorial'!$H43*'FE Sectorial'!M43/1000/1000</f>
        <v>236.97916666666666</v>
      </c>
      <c r="M44" s="17">
        <f>'Datos Actividad'!$O40*'FE Sectorial'!$H43*'FE Sectorial'!N43/1000/1000</f>
        <v>31.597222222222218</v>
      </c>
      <c r="N44" s="17">
        <f>'Datos Actividad'!$O40*'FE Sectorial'!$H43*'FE Sectorial'!O43/1000/1000</f>
        <v>0</v>
      </c>
      <c r="O44" s="87">
        <f>IF(D44&lt;400,H44+I44*'Factores generales'!$M$41+J44*'Factores generales'!$N$41,I44*'Factores generales'!$M$41+J44*'Factores generales'!$N$41)</f>
        <v>151723.54166666666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1051178.8075002721</v>
      </c>
      <c r="I45" s="134">
        <f t="shared" ref="I45:O45" si="12">I46</f>
        <v>18.831748896000001</v>
      </c>
      <c r="J45" s="134">
        <f t="shared" si="12"/>
        <v>1.8831748896000005</v>
      </c>
      <c r="K45" s="134">
        <f t="shared" si="12"/>
        <v>2824.7623343999999</v>
      </c>
      <c r="L45" s="134">
        <f t="shared" si="12"/>
        <v>564.95246687999997</v>
      </c>
      <c r="M45" s="134">
        <f t="shared" si="12"/>
        <v>94.15874448000001</v>
      </c>
      <c r="N45" s="134">
        <f t="shared" si="12"/>
        <v>0</v>
      </c>
      <c r="O45" s="134">
        <f t="shared" si="12"/>
        <v>1052158.0584428641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Actividad'!$O42*'FE Sectorial'!$H45*'FE Sectorial'!I45*'FE Sectorial'!P45/1000</f>
        <v>1051178.8075002721</v>
      </c>
      <c r="I46" s="17">
        <f>'Datos Actividad'!$O42*'FE Sectorial'!$H45*'FE Sectorial'!J45/1000/1000</f>
        <v>18.831748896000001</v>
      </c>
      <c r="J46" s="17">
        <f>'Datos Actividad'!$O42*'FE Sectorial'!$H45*'FE Sectorial'!K45/1000/1000</f>
        <v>1.8831748896000005</v>
      </c>
      <c r="K46" s="17">
        <f>'Datos Actividad'!$O42*'FE Sectorial'!$H45*'FE Sectorial'!L45/1000/1000</f>
        <v>2824.7623343999999</v>
      </c>
      <c r="L46" s="17">
        <f>'Datos Actividad'!$O42*'FE Sectorial'!$H45*'FE Sectorial'!M45/1000/1000</f>
        <v>564.95246687999997</v>
      </c>
      <c r="M46" s="17">
        <f>'Datos Actividad'!$O42*'FE Sectorial'!$H45*'FE Sectorial'!N45/1000/1000</f>
        <v>94.15874448000001</v>
      </c>
      <c r="N46" s="17">
        <f>'Datos Actividad'!$O42*'FE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1052158.0584428641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1784549.4448520336</v>
      </c>
      <c r="I47" s="134">
        <f t="shared" ref="I47:O47" si="13">SUM(I48:I55)</f>
        <v>134.72676041565313</v>
      </c>
      <c r="J47" s="134">
        <f t="shared" si="13"/>
        <v>16.921714606484077</v>
      </c>
      <c r="K47" s="134">
        <f t="shared" si="13"/>
        <v>5134.7295967054069</v>
      </c>
      <c r="L47" s="134">
        <f t="shared" si="13"/>
        <v>14638.027903717762</v>
      </c>
      <c r="M47" s="134">
        <f t="shared" si="13"/>
        <v>330.62686558638927</v>
      </c>
      <c r="N47" s="134">
        <f t="shared" si="13"/>
        <v>17.398879999999998</v>
      </c>
      <c r="O47" s="134">
        <f t="shared" si="13"/>
        <v>1792624.4383487725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Actividad'!$O44*'FE Sectorial'!$H47*'FE Sectorial'!I47*'FE Sectorial'!P47/1000</f>
        <v>1752940.0072113296</v>
      </c>
      <c r="I48" s="17">
        <f>'Datos Actividad'!$O44*'FE Sectorial'!$H47*'FE Sectorial'!J47/1000/1000</f>
        <v>31.403721051090205</v>
      </c>
      <c r="J48" s="17">
        <f>'Datos Actividad'!$O44*'FE Sectorial'!$H47*'FE Sectorial'!K47/1000/1000</f>
        <v>3.1403721051090208</v>
      </c>
      <c r="K48" s="17">
        <f>'Datos Actividad'!$O44*'FE Sectorial'!$H47*'FE Sectorial'!L47/1000/1000</f>
        <v>4710.5581576635304</v>
      </c>
      <c r="L48" s="17">
        <f>'Datos Actividad'!$O44*'FE Sectorial'!$H47*'FE Sectorial'!M47/1000/1000</f>
        <v>942.11163153270604</v>
      </c>
      <c r="M48" s="17">
        <f>'Datos Actividad'!$O44*'FE Sectorial'!$H47*'FE Sectorial'!N47/1000/1000</f>
        <v>157.01860525545104</v>
      </c>
      <c r="N48" s="17">
        <f>'Datos Actividad'!$O44*'FE Sectorial'!$H47*'FE Sectorial'!O47/1000/1000</f>
        <v>0</v>
      </c>
      <c r="O48" s="87">
        <f>IF(D48&lt;400,H48+I48*'Factores generales'!$M$41+J48*'Factores generales'!$N$41,I48*'Factores generales'!$M$41+J48*'Factores generales'!$N$41)</f>
        <v>1754573.0007059863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Actividad'!$O45*'FE Sectorial'!$H48*'FE Sectorial'!I48*'FE Sectorial'!P48/1000</f>
        <v>21371.737473504003</v>
      </c>
      <c r="I49" s="17">
        <f>'Datos Actividad'!$O45*'FE Sectorial'!$H48*'FE Sectorial'!J48/1000/1000</f>
        <v>0.37290161700000002</v>
      </c>
      <c r="J49" s="17">
        <f>'Datos Actividad'!$O45*'FE Sectorial'!$H48*'FE Sectorial'!K48/1000/1000</f>
        <v>3.7290161700000005E-2</v>
      </c>
      <c r="K49" s="17">
        <f>'Datos Actividad'!$O45*'FE Sectorial'!$H48*'FE Sectorial'!L48/1000/1000</f>
        <v>55.935242550000005</v>
      </c>
      <c r="L49" s="17">
        <f>'Datos Actividad'!$O45*'FE Sectorial'!$H48*'FE Sectorial'!M48/1000/1000</f>
        <v>11.187048510000002</v>
      </c>
      <c r="M49" s="17">
        <f>'Datos Actividad'!$O45*'FE Sectorial'!$H48*'FE Sectorial'!N48/1000/1000</f>
        <v>1.8645080850000002</v>
      </c>
      <c r="N49" s="17">
        <f>'Datos Actividad'!$O45*'FE Sectorial'!$H48*'FE Sectorial'!O48/1000/1000</f>
        <v>0</v>
      </c>
      <c r="O49" s="87">
        <f>IF(D49&lt;400,H49+I49*'Factores generales'!$M$41+J49*'Factores generales'!$N$41,I49*'Factores generales'!$M$41+J49*'Factores generales'!$N$41)</f>
        <v>21391.128357588004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Actividad'!$O46*'FE Sectorial'!$H49*'FE Sectorial'!I49*'FE Sectorial'!P49/1000</f>
        <v>719.21163599999988</v>
      </c>
      <c r="I50" s="17">
        <f>'Datos Actividad'!$O46*'FE Sectorial'!$H49*'FE Sectorial'!J49/1000/1000</f>
        <v>2.9412000000000001E-2</v>
      </c>
      <c r="J50" s="17">
        <f>'Datos Actividad'!$O46*'FE Sectorial'!$H49*'FE Sectorial'!K49/1000/1000</f>
        <v>5.8823999999999994E-3</v>
      </c>
      <c r="K50" s="17">
        <f>'Datos Actividad'!$O46*'FE Sectorial'!$H49*'FE Sectorial'!L49/1000/1000</f>
        <v>1.9607999999999999</v>
      </c>
      <c r="L50" s="17">
        <f>'Datos Actividad'!$O46*'FE Sectorial'!$H49*'FE Sectorial'!M49/1000/1000</f>
        <v>9.8040000000000002E-2</v>
      </c>
      <c r="M50" s="17">
        <f>'Datos Actividad'!$O46*'FE Sectorial'!$H49*'FE Sectorial'!N49/1000/1000</f>
        <v>4.9020000000000001E-2</v>
      </c>
      <c r="N50" s="17">
        <f>'Datos Actividad'!$O46*'FE Sectorial'!$H49*'FE Sectorial'!O49/1000/1000</f>
        <v>0.35568</v>
      </c>
      <c r="O50" s="87">
        <f>IF(D50&lt;400,H50+I50*'Factores generales'!$M$41+J50*'Factores generales'!$N$41,I50*'Factores generales'!$M$41+J50*'Factores generales'!$N$41)</f>
        <v>721.65283199999988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Actividad'!$O47*'FE Sectorial'!$H50*'FE Sectorial'!I50*'FE Sectorial'!P50/1000</f>
        <v>3002.0602391999996</v>
      </c>
      <c r="I51" s="17">
        <f>'Datos Actividad'!$O47*'FE Sectorial'!$H50*'FE Sectorial'!J50/1000/1000</f>
        <v>4.8056799999999997E-2</v>
      </c>
      <c r="J51" s="17">
        <f>'Datos Actividad'!$O47*'FE Sectorial'!$H50*'FE Sectorial'!K50/1000/1000</f>
        <v>4.8056799999999997E-3</v>
      </c>
      <c r="K51" s="17">
        <f>'Datos Actividad'!$O47*'FE Sectorial'!$H50*'FE Sectorial'!L50/1000/1000</f>
        <v>7.2085199999999983</v>
      </c>
      <c r="L51" s="17">
        <f>'Datos Actividad'!$O47*'FE Sectorial'!$H50*'FE Sectorial'!M50/1000/1000</f>
        <v>1.4417039999999997</v>
      </c>
      <c r="M51" s="17">
        <f>'Datos Actividad'!$O47*'FE Sectorial'!$H50*'FE Sectorial'!N50/1000/1000</f>
        <v>0.24028399999999997</v>
      </c>
      <c r="N51" s="17">
        <f>'Datos Actividad'!$O47*'FE Sectorial'!$H50*'FE Sectorial'!O50/1000/1000</f>
        <v>0.20320000000000002</v>
      </c>
      <c r="O51" s="87">
        <f>IF(D51&lt;400,H51+I51*'Factores generales'!$M$41+J51*'Factores generales'!$N$41,I51*'Factores generales'!$M$41+J51*'Factores generales'!$N$41)</f>
        <v>3004.5591927999999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Actividad'!$O48*'FE Sectorial'!$H51*'FE Sectorial'!I51*'FE Sectorial'!P51/1000</f>
        <v>6516.4282920000005</v>
      </c>
      <c r="I52" s="17">
        <f>'Datos Actividad'!$O48*'FE Sectorial'!$H51*'FE Sectorial'!J51/1000/1000</f>
        <v>0.25512600000000002</v>
      </c>
      <c r="J52" s="17">
        <f>'Datos Actividad'!$O48*'FE Sectorial'!$H51*'FE Sectorial'!K51/1000/1000</f>
        <v>5.10252E-2</v>
      </c>
      <c r="K52" s="17">
        <f>'Datos Actividad'!$O48*'FE Sectorial'!$H51*'FE Sectorial'!L51/1000/1000</f>
        <v>17.008400000000002</v>
      </c>
      <c r="L52" s="17">
        <f>'Datos Actividad'!$O48*'FE Sectorial'!$H51*'FE Sectorial'!M51/1000/1000</f>
        <v>0.85041999999999995</v>
      </c>
      <c r="M52" s="17">
        <f>'Datos Actividad'!$O48*'FE Sectorial'!$H51*'FE Sectorial'!N51/1000/1000</f>
        <v>0.42520999999999998</v>
      </c>
      <c r="N52" s="17">
        <f>'Datos Actividad'!$O48*'FE Sectorial'!$H51*'FE Sectorial'!O51/1000/1000</f>
        <v>16.84</v>
      </c>
      <c r="O52" s="87">
        <f>IF(D52&lt;400,H52+I52*'Factores generales'!$M$41+J52*'Factores generales'!$N$41,I52*'Factores generales'!$M$41+J52*'Factores generales'!$N$41)</f>
        <v>6537.6037500000011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Actividad'!$O49*'FE Sectorial'!$H52*'FE Sectorial'!I52*'FE Sectorial'!P52/1000</f>
        <v>297590.87454793253</v>
      </c>
      <c r="I53" s="17">
        <f>'Datos Actividad'!$O49*'FE Sectorial'!$H52*'FE Sectorial'!J52/1000/1000</f>
        <v>102.61754294756292</v>
      </c>
      <c r="J53" s="17">
        <f>'Datos Actividad'!$O49*'FE Sectorial'!$H52*'FE Sectorial'!K52/1000/1000</f>
        <v>13.682339059675057</v>
      </c>
      <c r="K53" s="17">
        <f>'Datos Actividad'!$O49*'FE Sectorial'!$H52*'FE Sectorial'!L52/1000/1000</f>
        <v>342.05847649187643</v>
      </c>
      <c r="L53" s="17">
        <f>'Datos Actividad'!$O49*'FE Sectorial'!$H52*'FE Sectorial'!M52/1000/1000</f>
        <v>13682.339059675056</v>
      </c>
      <c r="M53" s="17">
        <f>'Datos Actividad'!$O49*'FE Sectorial'!$H52*'FE Sectorial'!N52/1000/1000</f>
        <v>171.02923824593822</v>
      </c>
      <c r="N53" s="17">
        <f>'Datos Actividad'!$O49*'FE Sectorial'!$H52*'FE Sectorial'!O52/1000/1000</f>
        <v>0</v>
      </c>
      <c r="O53" s="87">
        <f>IF(D53&lt;400,H53+I53*'Factores generales'!$M$41+J53*'Factores generales'!$N$41,I53*'Factores generales'!$M$41+J53*'Factores generales'!$N$41)</f>
        <v>6396.4935103980897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Actividad'!$O50*'FE Sectorial'!$H53*'FE Sectorial'!I53*'FE Sectorial'!P53/1000</f>
        <v>0</v>
      </c>
      <c r="I54" s="17">
        <f>'Datos Actividad'!$O50*'FE Sectorial'!$H53*'FE Sectorial'!J53/1000/1000</f>
        <v>0</v>
      </c>
      <c r="J54" s="17">
        <f>'Datos Actividad'!$O50*'FE Sectorial'!$H53*'FE Sectorial'!K53/1000/1000</f>
        <v>0</v>
      </c>
      <c r="K54" s="17">
        <f>'Datos Actividad'!$O50*'FE Sectorial'!$H53*'FE Sectorial'!L53/1000/1000</f>
        <v>0</v>
      </c>
      <c r="L54" s="17">
        <f>'Datos Actividad'!$O50*'FE Sectorial'!$H53*'FE Sectorial'!M53/1000/1000</f>
        <v>0</v>
      </c>
      <c r="M54" s="17">
        <f>'Datos Actividad'!$O50*'FE Sectorial'!$H53*'FE Sectorial'!N53/1000/1000</f>
        <v>0</v>
      </c>
      <c r="N54" s="17">
        <f>'Datos Actividad'!$O50*'FE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Actividad'!$O51*'FE Sectorial'!$H54*'FE Sectorial'!I54*'FE Sectorial'!P54/1000</f>
        <v>0</v>
      </c>
      <c r="I55" s="17">
        <f>'Datos Actividad'!$O51*'FE Sectorial'!$H54*'FE Sectorial'!J54/1000/1000</f>
        <v>0</v>
      </c>
      <c r="J55" s="17">
        <f>'Datos Actividad'!$O51*'FE Sectorial'!$H54*'FE Sectorial'!K54/1000/1000</f>
        <v>0</v>
      </c>
      <c r="K55" s="17">
        <f>'Datos Actividad'!$O51*'FE Sectorial'!$H54*'FE Sectorial'!L54/1000/1000</f>
        <v>0</v>
      </c>
      <c r="L55" s="17">
        <f>'Datos Actividad'!$O51*'FE Sectorial'!$H54*'FE Sectorial'!M54/1000/1000</f>
        <v>0</v>
      </c>
      <c r="M55" s="17">
        <f>'Datos Actividad'!$O51*'FE Sectorial'!$H54*'FE Sectorial'!N54/1000/1000</f>
        <v>0</v>
      </c>
      <c r="N55" s="17">
        <f>'Datos Actividad'!$O51*'FE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746956.48871448007</v>
      </c>
      <c r="I56" s="134">
        <f>SUM(I57:I62)</f>
        <v>585.15962558756291</v>
      </c>
      <c r="J56" s="134">
        <f t="shared" ref="J56:O56" si="14">SUM(J57:J62)</f>
        <v>77.796341523675054</v>
      </c>
      <c r="K56" s="134">
        <f t="shared" si="14"/>
        <v>3903.0859324918761</v>
      </c>
      <c r="L56" s="134">
        <f t="shared" si="14"/>
        <v>67616.743338875051</v>
      </c>
      <c r="M56" s="134">
        <f t="shared" si="14"/>
        <v>1015.7566714459383</v>
      </c>
      <c r="N56" s="134">
        <f t="shared" si="14"/>
        <v>1304.0404800000001</v>
      </c>
      <c r="O56" s="134">
        <f t="shared" si="14"/>
        <v>783361.70672415802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Actividad'!$O53*'FE Sectorial'!$H56*'FE Sectorial'!I56*'FE Sectorial'!P56/1000</f>
        <v>678049.99629048002</v>
      </c>
      <c r="I57" s="17">
        <f>'Datos Actividad'!$O53*'FE Sectorial'!$H56*'FE Sectorial'!J56/1000/1000</f>
        <v>12.14718864</v>
      </c>
      <c r="J57" s="17">
        <f>'Datos Actividad'!$O53*'FE Sectorial'!$H56*'FE Sectorial'!K56/1000/1000</f>
        <v>1.2147188640000002</v>
      </c>
      <c r="K57" s="17">
        <f>'Datos Actividad'!$O53*'FE Sectorial'!$H56*'FE Sectorial'!L56/1000/1000</f>
        <v>1822.0782960000001</v>
      </c>
      <c r="L57" s="17">
        <f>'Datos Actividad'!$O53*'FE Sectorial'!$H56*'FE Sectorial'!M56/1000/1000</f>
        <v>364.41565920000005</v>
      </c>
      <c r="M57" s="17">
        <f>'Datos Actividad'!$O53*'FE Sectorial'!$H56*'FE Sectorial'!N56/1000/1000</f>
        <v>60.735943200000001</v>
      </c>
      <c r="N57" s="17">
        <f>'Datos Actividad'!$O53*'FE Sectorial'!$H56*'FE Sectorial'!O56/1000/1000</f>
        <v>0</v>
      </c>
      <c r="O57" s="87">
        <f>IF(D57&lt;400,H57+I57*'Factores generales'!$M$41+J57*'Factores generales'!$N$41,I57*'Factores generales'!$M$41+J57*'Factores generales'!$N$41)</f>
        <v>678681.65009976004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Actividad'!$O54*'FE Sectorial'!$H57*'FE Sectorial'!I57*'FE Sectorial'!P57/1000</f>
        <v>971.56659599999989</v>
      </c>
      <c r="I58" s="17">
        <f>'Datos Actividad'!$O54*'FE Sectorial'!$H57*'FE Sectorial'!J57/1000/1000</f>
        <v>3.9731999999999996E-2</v>
      </c>
      <c r="J58" s="17">
        <f>'Datos Actividad'!$O54*'FE Sectorial'!$H57*'FE Sectorial'!K57/1000/1000</f>
        <v>7.9463999999999993E-3</v>
      </c>
      <c r="K58" s="17">
        <f>'Datos Actividad'!$O54*'FE Sectorial'!$H57*'FE Sectorial'!L57/1000/1000</f>
        <v>2.6488</v>
      </c>
      <c r="L58" s="17">
        <f>'Datos Actividad'!$O54*'FE Sectorial'!$H57*'FE Sectorial'!M57/1000/1000</f>
        <v>0.13244</v>
      </c>
      <c r="M58" s="17">
        <f>'Datos Actividad'!$O54*'FE Sectorial'!$H57*'FE Sectorial'!N57/1000/1000</f>
        <v>6.6220000000000001E-2</v>
      </c>
      <c r="N58" s="17">
        <f>'Datos Actividad'!$O54*'FE Sectorial'!$H57*'FE Sectorial'!O57/1000/1000</f>
        <v>0.48048000000000002</v>
      </c>
      <c r="O58" s="87">
        <f>IF(D58&lt;400,H58+I58*'Factores generales'!$M$41+J58*'Factores generales'!$N$41,I58*'Factores generales'!$M$41+J58*'Factores generales'!$N$41)</f>
        <v>974.86435199999994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Actividad'!$O55*'FE Sectorial'!$H58*'FE Sectorial'!I58*'FE Sectorial'!P58/1000</f>
        <v>67934.925828000007</v>
      </c>
      <c r="I59" s="17">
        <f>'Datos Actividad'!$O55*'FE Sectorial'!$H58*'FE Sectorial'!J58/1000/1000</f>
        <v>2.6597339999999998</v>
      </c>
      <c r="J59" s="17">
        <f>'Datos Actividad'!$O55*'FE Sectorial'!$H58*'FE Sectorial'!K58/1000/1000</f>
        <v>0.53194679999999994</v>
      </c>
      <c r="K59" s="17">
        <f>'Datos Actividad'!$O55*'FE Sectorial'!$H58*'FE Sectorial'!L58/1000/1000</f>
        <v>177.31560000000002</v>
      </c>
      <c r="L59" s="17">
        <f>'Datos Actividad'!$O55*'FE Sectorial'!$H58*'FE Sectorial'!M58/1000/1000</f>
        <v>8.8657800000000009</v>
      </c>
      <c r="M59" s="17">
        <f>'Datos Actividad'!$O55*'FE Sectorial'!$H58*'FE Sectorial'!N58/1000/1000</f>
        <v>4.4328900000000004</v>
      </c>
      <c r="N59" s="17">
        <f>'Datos Actividad'!$O55*'FE Sectorial'!$H58*'FE Sectorial'!O58/1000/1000</f>
        <v>175.56</v>
      </c>
      <c r="O59" s="87">
        <f>IF(D59&lt;400,H59+I59*'Factores generales'!$M$41+J59*'Factores generales'!$N$41,I59*'Factores generales'!$M$41+J59*'Factores generales'!$N$41)</f>
        <v>68155.683750000011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Actividad'!$O56*'FE Sectorial'!$H59*'FE Sectorial'!I59*'FE Sectorial'!P59/1000</f>
        <v>645596.34120000002</v>
      </c>
      <c r="I60" s="17">
        <f>'Datos Actividad'!$O56*'FE Sectorial'!$H59*'FE Sectorial'!J59/1000/1000</f>
        <v>222.61942800000003</v>
      </c>
      <c r="J60" s="17">
        <f>'Datos Actividad'!$O56*'FE Sectorial'!$H59*'FE Sectorial'!K59/1000/1000</f>
        <v>29.682590399999999</v>
      </c>
      <c r="K60" s="17">
        <f>'Datos Actividad'!$O56*'FE Sectorial'!$H59*'FE Sectorial'!L59/1000/1000</f>
        <v>742.06475999999998</v>
      </c>
      <c r="L60" s="17">
        <f>'Datos Actividad'!$O56*'FE Sectorial'!$H59*'FE Sectorial'!M59/1000/1000</f>
        <v>29682.590399999997</v>
      </c>
      <c r="M60" s="17">
        <f>'Datos Actividad'!$O56*'FE Sectorial'!$H59*'FE Sectorial'!N59/1000/1000</f>
        <v>371.03237999999999</v>
      </c>
      <c r="N60" s="17">
        <f>'Datos Actividad'!$O56*'FE Sectorial'!$H59*'FE Sectorial'!O59/1000/1000</f>
        <v>0</v>
      </c>
      <c r="O60" s="87">
        <f>IF(D60&lt;400,H60+I60*'Factores generales'!$M$41+J60*'Factores generales'!$N$41,I60*'Factores generales'!$M$41+J60*'Factores generales'!$N$41)</f>
        <v>13876.611012000001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Actividad'!$O57*'FE Sectorial'!$H60*'FE Sectorial'!I60*'FE Sectorial'!P60/1000</f>
        <v>428658.04800000001</v>
      </c>
      <c r="I61" s="17">
        <f>'Datos Actividad'!$O57*'FE Sectorial'!$H60*'FE Sectorial'!J60/1000/1000</f>
        <v>131.976</v>
      </c>
      <c r="J61" s="17">
        <f>'Datos Actividad'!$O57*'FE Sectorial'!$H60*'FE Sectorial'!K60/1000/1000</f>
        <v>17.596799999999998</v>
      </c>
      <c r="K61" s="17">
        <f>'Datos Actividad'!$O57*'FE Sectorial'!$H60*'FE Sectorial'!L60/1000/1000</f>
        <v>439.92</v>
      </c>
      <c r="L61" s="17">
        <f>'Datos Actividad'!$O57*'FE Sectorial'!$H60*'FE Sectorial'!M60/1000/1000</f>
        <v>8798.4</v>
      </c>
      <c r="M61" s="17">
        <f>'Datos Actividad'!$O57*'FE Sectorial'!$H60*'FE Sectorial'!N60/1000/1000</f>
        <v>219.96</v>
      </c>
      <c r="N61" s="17">
        <f>'Datos Actividad'!$O57*'FE Sectorial'!$H60*'FE Sectorial'!O60/1000/1000</f>
        <v>1128</v>
      </c>
      <c r="O61" s="87">
        <f>IF(D61&lt;400,H61+I61*'Factores generales'!$M$41+J61*'Factores generales'!$N$41,I61*'Factores generales'!$M$41+J61*'Factores generales'!$N$41)</f>
        <v>8226.5040000000008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Actividad'!$O58*'FE Sectorial'!$H61*'FE Sectorial'!I61*'FE Sectorial'!P61/1000</f>
        <v>625580.87454793241</v>
      </c>
      <c r="I62" s="17">
        <f>'Datos Actividad'!$O58*'FE Sectorial'!$H61*'FE Sectorial'!J61/1000/1000</f>
        <v>215.71754294756295</v>
      </c>
      <c r="J62" s="17">
        <f>'Datos Actividad'!$O58*'FE Sectorial'!$H61*'FE Sectorial'!K61/1000/1000</f>
        <v>28.762339059675057</v>
      </c>
      <c r="K62" s="17">
        <f>'Datos Actividad'!$O58*'FE Sectorial'!$H61*'FE Sectorial'!L61/1000/1000</f>
        <v>719.05847649187638</v>
      </c>
      <c r="L62" s="17">
        <f>'Datos Actividad'!$O58*'FE Sectorial'!$H61*'FE Sectorial'!M61/1000/1000</f>
        <v>28762.339059675058</v>
      </c>
      <c r="M62" s="17">
        <f>'Datos Actividad'!$O58*'FE Sectorial'!$H61*'FE Sectorial'!N61/1000/1000</f>
        <v>359.52923824593819</v>
      </c>
      <c r="N62" s="17">
        <f>'Datos Actividad'!$O58*'FE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13446.393510398091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2676873.0284120878</v>
      </c>
      <c r="I63" s="134">
        <f>SUM(I64:I69)</f>
        <v>1428.3561845315628</v>
      </c>
      <c r="J63" s="134">
        <f t="shared" ref="J63:O63" si="15">SUM(J64:J69)</f>
        <v>188.87723681807506</v>
      </c>
      <c r="K63" s="134">
        <f t="shared" si="15"/>
        <v>11793.665034091877</v>
      </c>
      <c r="L63" s="134">
        <f t="shared" si="15"/>
        <v>185363.42158719507</v>
      </c>
      <c r="M63" s="134">
        <f t="shared" si="15"/>
        <v>2539.9248461659381</v>
      </c>
      <c r="N63" s="134">
        <f t="shared" si="15"/>
        <v>30.802640000000004</v>
      </c>
      <c r="O63" s="134">
        <f t="shared" si="15"/>
        <v>2765420.4517008536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Actividad'!$O60*'FE Sectorial'!$H63*'FE Sectorial'!I63*'FE Sectorial'!P63/1000</f>
        <v>2668136.4639380882</v>
      </c>
      <c r="I64" s="17">
        <f>'Datos Actividad'!$O60*'FE Sectorial'!$H63*'FE Sectorial'!J63/1000/1000</f>
        <v>47.799361583999996</v>
      </c>
      <c r="J64" s="17">
        <f>'Datos Actividad'!$O60*'FE Sectorial'!$H63*'FE Sectorial'!K63/1000/1000</f>
        <v>4.7799361584</v>
      </c>
      <c r="K64" s="17">
        <f>'Datos Actividad'!$O60*'FE Sectorial'!$H63*'FE Sectorial'!L63/1000/1000</f>
        <v>7169.9042375999998</v>
      </c>
      <c r="L64" s="17">
        <f>'Datos Actividad'!$O60*'FE Sectorial'!$H63*'FE Sectorial'!M63/1000/1000</f>
        <v>1433.98084752</v>
      </c>
      <c r="M64" s="17">
        <f>'Datos Actividad'!$O60*'FE Sectorial'!$H63*'FE Sectorial'!N63/1000/1000</f>
        <v>238.99680791999998</v>
      </c>
      <c r="N64" s="17">
        <f>'Datos Actividad'!$O60*'FE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2670622.0307404562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Actividad'!$O61*'FE Sectorial'!$H64*'FE Sectorial'!I64*'FE Sectorial'!P64/1000</f>
        <v>2189.1792780000001</v>
      </c>
      <c r="I65" s="17">
        <f>'Datos Actividad'!$O61*'FE Sectorial'!$H64*'FE Sectorial'!J64/1000/1000</f>
        <v>8.9525999999999994E-2</v>
      </c>
      <c r="J65" s="17">
        <f>'Datos Actividad'!$O61*'FE Sectorial'!$H64*'FE Sectorial'!K64/1000/1000</f>
        <v>1.79052E-2</v>
      </c>
      <c r="K65" s="17">
        <f>'Datos Actividad'!$O61*'FE Sectorial'!$H64*'FE Sectorial'!L64/1000/1000</f>
        <v>5.9683999999999999</v>
      </c>
      <c r="L65" s="17">
        <f>'Datos Actividad'!$O61*'FE Sectorial'!$H64*'FE Sectorial'!M64/1000/1000</f>
        <v>0.29842000000000002</v>
      </c>
      <c r="M65" s="17">
        <f>'Datos Actividad'!$O61*'FE Sectorial'!$H64*'FE Sectorial'!N64/1000/1000</f>
        <v>0.14921000000000001</v>
      </c>
      <c r="N65" s="17">
        <f>'Datos Actividad'!$O61*'FE Sectorial'!$H64*'FE Sectorial'!O64/1000/1000</f>
        <v>1.08264</v>
      </c>
      <c r="O65" s="87">
        <f>IF(D65&lt;400,H65+I65*'Factores generales'!$M$41+J65*'Factores generales'!$N$41,I65*'Factores generales'!$M$41+J65*'Factores generales'!$N$41)</f>
        <v>2196.6099360000003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Actividad'!$O62*'FE Sectorial'!$H65*'FE Sectorial'!I65*'FE Sectorial'!P65/1000</f>
        <v>6547.3851960000002</v>
      </c>
      <c r="I66" s="17">
        <f>'Datos Actividad'!$O62*'FE Sectorial'!$H65*'FE Sectorial'!J65/1000/1000</f>
        <v>0.25633800000000001</v>
      </c>
      <c r="J66" s="17">
        <f>'Datos Actividad'!$O62*'FE Sectorial'!$H65*'FE Sectorial'!K65/1000/1000</f>
        <v>5.1267600000000003E-2</v>
      </c>
      <c r="K66" s="17">
        <f>'Datos Actividad'!$O62*'FE Sectorial'!$H65*'FE Sectorial'!L65/1000/1000</f>
        <v>17.089200000000002</v>
      </c>
      <c r="L66" s="17">
        <f>'Datos Actividad'!$O62*'FE Sectorial'!$H65*'FE Sectorial'!M65/1000/1000</f>
        <v>0.85446</v>
      </c>
      <c r="M66" s="17">
        <f>'Datos Actividad'!$O62*'FE Sectorial'!$H65*'FE Sectorial'!N65/1000/1000</f>
        <v>0.42723</v>
      </c>
      <c r="N66" s="17">
        <f>'Datos Actividad'!$O62*'FE Sectorial'!$H65*'FE Sectorial'!O65/1000/1000</f>
        <v>16.920000000000002</v>
      </c>
      <c r="O66" s="87">
        <f>IF(D66&lt;400,H66+I66*'Factores generales'!$M$41+J66*'Factores generales'!$N$41,I66*'Factores generales'!$M$41+J66*'Factores generales'!$N$41)</f>
        <v>6568.6612500000001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Actividad'!$O63*'FE Sectorial'!$H66*'FE Sectorial'!I66*'FE Sectorial'!P66/1000</f>
        <v>3658379.2668000003</v>
      </c>
      <c r="I67" s="17">
        <f>'Datos Actividad'!$O63*'FE Sectorial'!$H66*'FE Sectorial'!J66/1000/1000</f>
        <v>1261.510092</v>
      </c>
      <c r="J67" s="17">
        <f>'Datos Actividad'!$O63*'FE Sectorial'!$H66*'FE Sectorial'!K66/1000/1000</f>
        <v>168.2013456</v>
      </c>
      <c r="K67" s="17">
        <f>'Datos Actividad'!$O63*'FE Sectorial'!$H66*'FE Sectorial'!L66/1000/1000</f>
        <v>4205.0336399999997</v>
      </c>
      <c r="L67" s="17">
        <f>'Datos Actividad'!$O63*'FE Sectorial'!$H66*'FE Sectorial'!M66/1000/1000</f>
        <v>168201.3456</v>
      </c>
      <c r="M67" s="17">
        <f>'Datos Actividad'!$O63*'FE Sectorial'!$H66*'FE Sectorial'!N66/1000/1000</f>
        <v>2102.5168199999998</v>
      </c>
      <c r="N67" s="17">
        <f>'Datos Actividad'!$O63*'FE Sectorial'!$H66*'FE Sectorial'!O66/1000/1000</f>
        <v>0</v>
      </c>
      <c r="O67" s="87">
        <f>IF(D67&lt;400,H67+I67*'Factores generales'!$M$41+J67*'Factores generales'!$N$41,I67*'Factores generales'!$M$41+J67*'Factores generales'!$N$41)</f>
        <v>78634.129067999995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Actividad'!$O64*'FE Sectorial'!$H67*'FE Sectorial'!I67*'FE Sectorial'!P67/1000</f>
        <v>4864.2047999999995</v>
      </c>
      <c r="I68" s="17">
        <f>'Datos Actividad'!$O64*'FE Sectorial'!$H67*'FE Sectorial'!J67/1000/1000</f>
        <v>1.4975999999999998</v>
      </c>
      <c r="J68" s="17">
        <f>'Datos Actividad'!$O64*'FE Sectorial'!$H67*'FE Sectorial'!K67/1000/1000</f>
        <v>0.19968</v>
      </c>
      <c r="K68" s="17">
        <f>'Datos Actividad'!$O64*'FE Sectorial'!$H67*'FE Sectorial'!L67/1000/1000</f>
        <v>4.992</v>
      </c>
      <c r="L68" s="17">
        <f>'Datos Actividad'!$O64*'FE Sectorial'!$H67*'FE Sectorial'!M67/1000/1000</f>
        <v>99.84</v>
      </c>
      <c r="M68" s="17">
        <f>'Datos Actividad'!$O64*'FE Sectorial'!$H67*'FE Sectorial'!N67/1000/1000</f>
        <v>2.496</v>
      </c>
      <c r="N68" s="17">
        <f>'Datos Actividad'!$O64*'FE Sectorial'!$H67*'FE Sectorial'!O67/1000/1000</f>
        <v>12.8</v>
      </c>
      <c r="O68" s="87">
        <f>IF(D68&lt;400,H68+I68*'Factores generales'!$M$41+J68*'Factores generales'!$N$41,I68*'Factores generales'!$M$41+J68*'Factores generales'!$N$41)</f>
        <v>93.350399999999993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Actividad'!$O65*'FE Sectorial'!$H68*'FE Sectorial'!I68*'FE Sectorial'!P68/1000</f>
        <v>339889.47414793249</v>
      </c>
      <c r="I69" s="17">
        <f>'Datos Actividad'!$O65*'FE Sectorial'!$H68*'FE Sectorial'!J68/1000/1000</f>
        <v>117.20326694756294</v>
      </c>
      <c r="J69" s="17">
        <f>'Datos Actividad'!$O65*'FE Sectorial'!$H68*'FE Sectorial'!K68/1000/1000</f>
        <v>15.627102259675057</v>
      </c>
      <c r="K69" s="17">
        <f>'Datos Actividad'!$O65*'FE Sectorial'!$H68*'FE Sectorial'!L68/1000/1000</f>
        <v>390.67755649187643</v>
      </c>
      <c r="L69" s="17">
        <f>'Datos Actividad'!$O65*'FE Sectorial'!$H68*'FE Sectorial'!M68/1000/1000</f>
        <v>15627.102259675057</v>
      </c>
      <c r="M69" s="17">
        <f>'Datos Actividad'!$O65*'FE Sectorial'!$H68*'FE Sectorial'!N68/1000/1000</f>
        <v>195.33877824593822</v>
      </c>
      <c r="N69" s="17">
        <f>'Datos Actividad'!$O65*'FE Sectorial'!$H68*'FE Sectorial'!O68/1000/1000</f>
        <v>0</v>
      </c>
      <c r="O69" s="87">
        <f>IF(D69&lt;400,H69+I69*'Factores generales'!$M$41+J69*'Factores generales'!$N$41,I69*'Factores generales'!$M$41+J69*'Factores generales'!$N$41)</f>
        <v>7305.6703063980895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8189283.4952497091</v>
      </c>
      <c r="I70" s="134">
        <f t="shared" si="16"/>
        <v>610.63608946235559</v>
      </c>
      <c r="J70" s="134">
        <f t="shared" si="16"/>
        <v>85.145392008946359</v>
      </c>
      <c r="K70" s="134">
        <f t="shared" si="16"/>
        <v>23416.369902550119</v>
      </c>
      <c r="L70" s="134">
        <f t="shared" si="16"/>
        <v>40336.413048082213</v>
      </c>
      <c r="M70" s="134">
        <f t="shared" si="16"/>
        <v>1504.829768338644</v>
      </c>
      <c r="N70" s="134">
        <f t="shared" si="16"/>
        <v>4826.7204135589327</v>
      </c>
      <c r="O70" s="134">
        <f t="shared" si="16"/>
        <v>8228501.9246511934</v>
      </c>
    </row>
    <row r="71" spans="1:15" outlineLevel="1" x14ac:dyDescent="0.25">
      <c r="B71" s="1" t="s">
        <v>36</v>
      </c>
      <c r="G71" s="1"/>
      <c r="H71" s="15">
        <f>H72+H73+H74+H76</f>
        <v>2351991.4905735613</v>
      </c>
      <c r="I71" s="15">
        <f>SUM(I72:I76)</f>
        <v>310.53786883137002</v>
      </c>
      <c r="J71" s="15">
        <f t="shared" ref="J71:O71" si="17">SUM(J72:J76)</f>
        <v>45.907281226723029</v>
      </c>
      <c r="K71" s="15">
        <f t="shared" si="17"/>
        <v>7404.0830687164971</v>
      </c>
      <c r="L71" s="15">
        <f t="shared" si="17"/>
        <v>19761.214712359411</v>
      </c>
      <c r="M71" s="15">
        <f t="shared" si="17"/>
        <v>710.30727348245887</v>
      </c>
      <c r="N71" s="15">
        <f t="shared" si="17"/>
        <v>2319.5832274242157</v>
      </c>
      <c r="O71" s="15">
        <f t="shared" si="17"/>
        <v>2372744.0429993044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Actividad'!$O68*'FE Sectorial'!$H71*'FE Sectorial'!I71*'FE Sectorial'!P71/1000</f>
        <v>1954730.466903456</v>
      </c>
      <c r="I72" s="17">
        <f>'Datos Actividad'!$O68*'FE Sectorial'!$H71*'FE Sectorial'!J71/1000/1000</f>
        <v>35.018774207999996</v>
      </c>
      <c r="J72" s="17">
        <f>'Datos Actividad'!$O68*'FE Sectorial'!$H71*'FE Sectorial'!K71/1000/1000</f>
        <v>3.5018774208000001</v>
      </c>
      <c r="K72" s="17">
        <f>'Datos Actividad'!$O68*'FE Sectorial'!$H71*'FE Sectorial'!L71/1000/1000</f>
        <v>5252.8161311999993</v>
      </c>
      <c r="L72" s="17">
        <f>'Datos Actividad'!$O68*'FE Sectorial'!$H71*'FE Sectorial'!M71/1000/1000</f>
        <v>1050.5632262399999</v>
      </c>
      <c r="M72" s="17">
        <f>'Datos Actividad'!$O68*'FE Sectorial'!$H71*'FE Sectorial'!N71/1000/1000</f>
        <v>175.09387104000001</v>
      </c>
      <c r="N72" s="17">
        <f>'Datos Actividad'!$O68*'FE Sectorial'!$H71*'FE Sectorial'!O71/1000/1000</f>
        <v>0</v>
      </c>
      <c r="O72" s="87">
        <f>IF(D72&lt;400,H72+I72*'Factores generales'!$M$41+J72*'Factores generales'!$N$41,I72*'Factores generales'!$M$41+J72*'Factores generales'!$N$41)</f>
        <v>1956551.443162272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Actividad'!$O69*'FE Sectorial'!$H72*'FE Sectorial'!I72*'FE Sectorial'!P72/1000</f>
        <v>1085.1263280000001</v>
      </c>
      <c r="I73" s="17">
        <f>'Datos Actividad'!$O69*'FE Sectorial'!$H72*'FE Sectorial'!J72/1000/1000</f>
        <v>4.4375999999999999E-2</v>
      </c>
      <c r="J73" s="17">
        <f>'Datos Actividad'!$O69*'FE Sectorial'!$H72*'FE Sectorial'!K72/1000/1000</f>
        <v>8.8751999999999998E-3</v>
      </c>
      <c r="K73" s="17">
        <f>'Datos Actividad'!$O69*'FE Sectorial'!$H72*'FE Sectorial'!L72/1000/1000</f>
        <v>2.9584000000000001</v>
      </c>
      <c r="L73" s="17">
        <f>'Datos Actividad'!$O69*'FE Sectorial'!$H72*'FE Sectorial'!M72/1000/1000</f>
        <v>0.14792</v>
      </c>
      <c r="M73" s="17">
        <f>'Datos Actividad'!$O69*'FE Sectorial'!$H72*'FE Sectorial'!N72/1000/1000</f>
        <v>7.3959999999999998E-2</v>
      </c>
      <c r="N73" s="17">
        <f>'Datos Actividad'!$O69*'FE Sectorial'!$H72*'FE Sectorial'!O72/1000/1000</f>
        <v>0.53664000000000001</v>
      </c>
      <c r="O73" s="87">
        <f>IF(D73&lt;400,H73+I73*'Factores generales'!$M$41+J73*'Factores generales'!$N$41,I73*'Factores generales'!$M$41+J73*'Factores generales'!$N$41)</f>
        <v>1088.8095360000002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Actividad'!$O70*'FE Sectorial'!$H73*'FE Sectorial'!I73*'FE Sectorial'!P73/1000</f>
        <v>396175.89734210534</v>
      </c>
      <c r="I74" s="17">
        <f>'Datos Actividad'!$O70*'FE Sectorial'!$H73*'FE Sectorial'!J73/1000/1000</f>
        <v>4.1462678947368428</v>
      </c>
      <c r="J74" s="17">
        <f>'Datos Actividad'!$O70*'FE Sectorial'!$H73*'FE Sectorial'!K73/1000/1000</f>
        <v>6.219401842105265</v>
      </c>
      <c r="K74" s="17">
        <f>'Datos Actividad'!$O70*'FE Sectorial'!$H73*'FE Sectorial'!L73/1000/1000</f>
        <v>1243.8803684210529</v>
      </c>
      <c r="L74" s="17">
        <f>'Datos Actividad'!$O70*'FE Sectorial'!$H73*'FE Sectorial'!M73/1000/1000</f>
        <v>621.94018421052647</v>
      </c>
      <c r="M74" s="17">
        <f>'Datos Actividad'!$O70*'FE Sectorial'!$H73*'FE Sectorial'!N73/1000/1000</f>
        <v>82.925357894736848</v>
      </c>
      <c r="N74" s="17">
        <f>'Datos Actividad'!$O70*'FE Sectorial'!$H73*'FE Sectorial'!O73/1000/1000</f>
        <v>0</v>
      </c>
      <c r="O74" s="87">
        <f>IF(D74&lt;400,H74+I74*'Factores generales'!$M$41+J74*'Factores generales'!$N$41,I74*'Factores generales'!$M$41+J74*'Factores generales'!$N$41)</f>
        <v>398190.98353894742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Actividad'!$O71*'FE Sectorial'!$H74*'FE Sectorial'!I74*'FE Sectorial'!P74/1000</f>
        <v>881274.80796660075</v>
      </c>
      <c r="I75" s="17">
        <f>'Datos Actividad'!$O71*'FE Sectorial'!$H74*'FE Sectorial'!J74/1000/1000</f>
        <v>271.32845072863319</v>
      </c>
      <c r="J75" s="17">
        <f>'Datos Actividad'!$O71*'FE Sectorial'!$H74*'FE Sectorial'!K74/1000/1000</f>
        <v>36.177126763817768</v>
      </c>
      <c r="K75" s="17">
        <f>'Datos Actividad'!$O71*'FE Sectorial'!$H74*'FE Sectorial'!L74/1000/1000</f>
        <v>904.42816909544399</v>
      </c>
      <c r="L75" s="17">
        <f>'Datos Actividad'!$O71*'FE Sectorial'!$H74*'FE Sectorial'!M74/1000/1000</f>
        <v>18088.563381908883</v>
      </c>
      <c r="M75" s="17">
        <f>'Datos Actividad'!$O71*'FE Sectorial'!$H74*'FE Sectorial'!N74/1000/1000</f>
        <v>452.214084547722</v>
      </c>
      <c r="N75" s="17">
        <f>'Datos Actividad'!$O71*'FE Sectorial'!$H74*'FE Sectorial'!O74/1000/1000</f>
        <v>2319.0465874242159</v>
      </c>
      <c r="O75" s="87">
        <f>IF(D75&lt;400,H75+I75*'Factores generales'!$M$41+J75*'Factores generales'!$N$41,I75*'Factores generales'!$M$41+J75*'Factores generales'!$N$41)</f>
        <v>16912.806762084805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Actividad'!$O72*'FE Sectorial'!$H75*'FE Sectorial'!I75*'FE Sectorial'!P75/1000</f>
        <v>0</v>
      </c>
      <c r="I76" s="17">
        <f>'Datos Actividad'!$O72*'FE Sectorial'!$H75*'FE Sectorial'!J75/1000/1000</f>
        <v>0</v>
      </c>
      <c r="J76" s="17">
        <f>'Datos Actividad'!$O72*'FE Sectorial'!$H75*'FE Sectorial'!K75/1000/1000</f>
        <v>0</v>
      </c>
      <c r="K76" s="17">
        <f>'Datos Actividad'!$O72*'FE Sectorial'!$H75*'FE Sectorial'!L75/1000/1000</f>
        <v>0</v>
      </c>
      <c r="L76" s="17">
        <f>'Datos Actividad'!$O72*'FE Sectorial'!$H75*'FE Sectorial'!M75/1000/1000</f>
        <v>0</v>
      </c>
      <c r="M76" s="17">
        <f>'Datos Actividad'!$O72*'FE Sectorial'!$H75*'FE Sectorial'!N75/1000/1000</f>
        <v>0</v>
      </c>
      <c r="N76" s="17">
        <f>'Datos Actividad'!$O72*'FE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80485.228201752005</v>
      </c>
      <c r="I77" s="15">
        <f t="shared" si="18"/>
        <v>1.443043536</v>
      </c>
      <c r="J77" s="15">
        <f t="shared" si="18"/>
        <v>0.14451075360000001</v>
      </c>
      <c r="K77" s="15">
        <f t="shared" si="18"/>
        <v>216.28453039999999</v>
      </c>
      <c r="L77" s="15">
        <f t="shared" si="18"/>
        <v>43.236266080000007</v>
      </c>
      <c r="M77" s="15">
        <f t="shared" si="18"/>
        <v>7.2083376800000014</v>
      </c>
      <c r="N77" s="15">
        <f t="shared" si="18"/>
        <v>2.496E-2</v>
      </c>
      <c r="O77" s="15">
        <f t="shared" si="18"/>
        <v>80560.330449623987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Actividad'!$O74*'FE Sectorial'!$H77*'FE Sectorial'!I77*'FE Sectorial'!P77/1000</f>
        <v>80434.757209752002</v>
      </c>
      <c r="I78" s="17">
        <f>'Datos Actividad'!$O74*'FE Sectorial'!$H77*'FE Sectorial'!J77/1000/1000</f>
        <v>1.4409795359999999</v>
      </c>
      <c r="J78" s="17">
        <f>'Datos Actividad'!$O74*'FE Sectorial'!$H77*'FE Sectorial'!K77/1000/1000</f>
        <v>0.14409795360000002</v>
      </c>
      <c r="K78" s="17">
        <f>'Datos Actividad'!$O74*'FE Sectorial'!$H77*'FE Sectorial'!L77/1000/1000</f>
        <v>216.1469304</v>
      </c>
      <c r="L78" s="17">
        <f>'Datos Actividad'!$O74*'FE Sectorial'!$H77*'FE Sectorial'!M77/1000/1000</f>
        <v>43.229386080000005</v>
      </c>
      <c r="M78" s="17">
        <f>'Datos Actividad'!$O74*'FE Sectorial'!$H77*'FE Sectorial'!N77/1000/1000</f>
        <v>7.2048976800000011</v>
      </c>
      <c r="N78" s="17">
        <f>'Datos Actividad'!$O74*'FE Sectorial'!$H77*'FE Sectorial'!O77/1000/1000</f>
        <v>0</v>
      </c>
      <c r="O78" s="87">
        <f>IF(D78&lt;400,H78+I78*'Factores generales'!$M$41+J78*'Factores generales'!$N$41,I78*'Factores generales'!$M$41+J78*'Factores generales'!$N$41)</f>
        <v>80509.688145623993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Actividad'!$O75*'FE Sectorial'!$H78*'FE Sectorial'!I78*'FE Sectorial'!P78/1000</f>
        <v>50.470991999999995</v>
      </c>
      <c r="I79" s="17">
        <f>'Datos Actividad'!$O75*'FE Sectorial'!$H78*'FE Sectorial'!J78/1000/1000</f>
        <v>2.0639999999999999E-3</v>
      </c>
      <c r="J79" s="17">
        <f>'Datos Actividad'!$O75*'FE Sectorial'!$H78*'FE Sectorial'!K78/1000/1000</f>
        <v>4.1280000000000001E-4</v>
      </c>
      <c r="K79" s="17">
        <f>'Datos Actividad'!$O75*'FE Sectorial'!$H78*'FE Sectorial'!L78/1000/1000</f>
        <v>0.1376</v>
      </c>
      <c r="L79" s="17">
        <f>'Datos Actividad'!$O75*'FE Sectorial'!$H78*'FE Sectorial'!M78/1000/1000</f>
        <v>6.8799999999999998E-3</v>
      </c>
      <c r="M79" s="17">
        <f>'Datos Actividad'!$O75*'FE Sectorial'!$H78*'FE Sectorial'!N78/1000/1000</f>
        <v>3.4399999999999999E-3</v>
      </c>
      <c r="N79" s="17">
        <f>'Datos Actividad'!$O75*'FE Sectorial'!$H78*'FE Sectorial'!O78/1000/1000</f>
        <v>2.496E-2</v>
      </c>
      <c r="O79" s="87">
        <f>IF(D79&lt;400,H79+I79*'Factores generales'!$M$41+J79*'Factores generales'!$N$41,I79*'Factores generales'!$M$41+J79*'Factores generales'!$N$41)</f>
        <v>50.642303999999996</v>
      </c>
    </row>
    <row r="80" spans="1:15" outlineLevel="1" x14ac:dyDescent="0.25">
      <c r="B80" s="1" t="s">
        <v>37</v>
      </c>
      <c r="G80" s="1"/>
      <c r="H80" s="15">
        <f>SUM(H81:H83)</f>
        <v>84719.21707893601</v>
      </c>
      <c r="I80" s="15">
        <f>SUM(I81:I85)</f>
        <v>180.79249879556295</v>
      </c>
      <c r="J80" s="15">
        <f t="shared" ref="J80:O80" si="19">SUM(J81:J85)</f>
        <v>24.057071544475058</v>
      </c>
      <c r="K80" s="15">
        <f t="shared" si="19"/>
        <v>825.15110369187641</v>
      </c>
      <c r="L80" s="15">
        <f t="shared" si="19"/>
        <v>17862.817895115055</v>
      </c>
      <c r="M80" s="15">
        <f t="shared" si="19"/>
        <v>306.34278748593817</v>
      </c>
      <c r="N80" s="15">
        <f t="shared" si="19"/>
        <v>781.60155999999995</v>
      </c>
      <c r="O80" s="15">
        <f t="shared" si="19"/>
        <v>95973.551732430074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Actividad'!$O77*'FE Sectorial'!$H80*'FE Sectorial'!I80*'FE Sectorial'!P80/1000</f>
        <v>84096.924561936001</v>
      </c>
      <c r="I81" s="17">
        <f>'Datos Actividad'!$O77*'FE Sectorial'!$H80*'FE Sectorial'!J80/1000/1000</f>
        <v>1.506586848</v>
      </c>
      <c r="J81" s="17">
        <f>'Datos Actividad'!$O77*'FE Sectorial'!$H80*'FE Sectorial'!K80/1000/1000</f>
        <v>0.1506586848</v>
      </c>
      <c r="K81" s="17">
        <f>'Datos Actividad'!$O77*'FE Sectorial'!$H80*'FE Sectorial'!L80/1000/1000</f>
        <v>225.98802719999998</v>
      </c>
      <c r="L81" s="17">
        <f>'Datos Actividad'!$O77*'FE Sectorial'!$H80*'FE Sectorial'!M80/1000/1000</f>
        <v>45.197605439999997</v>
      </c>
      <c r="M81" s="17">
        <f>'Datos Actividad'!$O77*'FE Sectorial'!$H80*'FE Sectorial'!N80/1000/1000</f>
        <v>7.5329342400000003</v>
      </c>
      <c r="N81" s="17">
        <f>'Datos Actividad'!$O77*'FE Sectorial'!$H80*'FE Sectorial'!O80/1000/1000</f>
        <v>0</v>
      </c>
      <c r="O81" s="87">
        <f>IF(D81&lt;400,H81+I81*'Factores generales'!$M$41+J81*'Factores generales'!$N$41,I81*'Factores generales'!$M$41+J81*'Factores generales'!$N$41)</f>
        <v>84175.267078032004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Actividad'!$O78*'FE Sectorial'!$H81*'FE Sectorial'!I81*'FE Sectorial'!P81/1000</f>
        <v>3.1544369999999997</v>
      </c>
      <c r="I82" s="17">
        <f>'Datos Actividad'!$O78*'FE Sectorial'!$H81*'FE Sectorial'!J81/1000/1000</f>
        <v>1.2899999999999999E-4</v>
      </c>
      <c r="J82" s="17">
        <f>'Datos Actividad'!$O78*'FE Sectorial'!$H81*'FE Sectorial'!K81/1000/1000</f>
        <v>2.58E-5</v>
      </c>
      <c r="K82" s="17">
        <f>'Datos Actividad'!$O78*'FE Sectorial'!$H81*'FE Sectorial'!L81/1000/1000</f>
        <v>8.6E-3</v>
      </c>
      <c r="L82" s="17">
        <f>'Datos Actividad'!$O78*'FE Sectorial'!$H81*'FE Sectorial'!M81/1000/1000</f>
        <v>4.2999999999999999E-4</v>
      </c>
      <c r="M82" s="17">
        <f>'Datos Actividad'!$O78*'FE Sectorial'!$H81*'FE Sectorial'!N81/1000/1000</f>
        <v>2.1499999999999999E-4</v>
      </c>
      <c r="N82" s="17">
        <f>'Datos Actividad'!$O78*'FE Sectorial'!$H81*'FE Sectorial'!O81/1000/1000</f>
        <v>1.56E-3</v>
      </c>
      <c r="O82" s="87">
        <f>IF(D82&lt;400,H82+I82*'Factores generales'!$M$41+J82*'Factores generales'!$N$41,I82*'Factores generales'!$M$41+J82*'Factores generales'!$N$41)</f>
        <v>3.1651439999999997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Actividad'!$O79*'FE Sectorial'!$H82*'FE Sectorial'!I82*'FE Sectorial'!P82/1000</f>
        <v>619.13808000000006</v>
      </c>
      <c r="I83" s="95">
        <f>'Datos Actividad'!$O79*'FE Sectorial'!$H82*'FE Sectorial'!J82/1000/1000</f>
        <v>2.4240000000000001E-2</v>
      </c>
      <c r="J83" s="17">
        <f>'Datos Actividad'!$O79*'FE Sectorial'!$H82*'FE Sectorial'!K82/1000/1000</f>
        <v>4.8479999999999999E-3</v>
      </c>
      <c r="K83" s="17">
        <f>'Datos Actividad'!$O79*'FE Sectorial'!$H82*'FE Sectorial'!L82/1000/1000</f>
        <v>1.6160000000000003</v>
      </c>
      <c r="L83" s="17">
        <f>'Datos Actividad'!$O79*'FE Sectorial'!$H82*'FE Sectorial'!M82/1000/1000</f>
        <v>8.0800000000000011E-2</v>
      </c>
      <c r="M83" s="17">
        <f>'Datos Actividad'!$O79*'FE Sectorial'!$H82*'FE Sectorial'!N82/1000/1000</f>
        <v>4.0400000000000005E-2</v>
      </c>
      <c r="N83" s="17">
        <f>'Datos Actividad'!$O79*'FE Sectorial'!$H82*'FE Sectorial'!O82/1000/1000</f>
        <v>1.6000000000000003</v>
      </c>
      <c r="O83" s="87">
        <f>IF(D83&lt;400,H83+I83*'Factores generales'!$M$41+J83*'Factores generales'!$N$41,I83*'Factores generales'!$M$41+J83*'Factores generales'!$N$41)</f>
        <v>621.15000000000009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Actividad'!$O80*'FE Sectorial'!$H83*'FE Sectorial'!I83*'FE Sectorial'!P83/1000</f>
        <v>296412.48</v>
      </c>
      <c r="I84" s="95">
        <f>'Datos Actividad'!$O80*'FE Sectorial'!$H83*'FE Sectorial'!J83/1000/1000</f>
        <v>91.26</v>
      </c>
      <c r="J84" s="17">
        <f>'Datos Actividad'!$O80*'FE Sectorial'!$H83*'FE Sectorial'!K83/1000/1000</f>
        <v>12.167999999999999</v>
      </c>
      <c r="K84" s="17">
        <f>'Datos Actividad'!$O80*'FE Sectorial'!$H83*'FE Sectorial'!L83/1000/1000</f>
        <v>304.2</v>
      </c>
      <c r="L84" s="17">
        <f>'Datos Actividad'!$O80*'FE Sectorial'!$H83*'FE Sectorial'!M83/1000/1000</f>
        <v>6084</v>
      </c>
      <c r="M84" s="17">
        <f>'Datos Actividad'!$O80*'FE Sectorial'!$H83*'FE Sectorial'!N83/1000/1000</f>
        <v>152.1</v>
      </c>
      <c r="N84" s="17">
        <f>'Datos Actividad'!$O80*'FE Sectorial'!$H83*'FE Sectorial'!O83/1000/1000</f>
        <v>780</v>
      </c>
      <c r="O84" s="87">
        <f>IF(D84&lt;400,H84+I84*'Factores generales'!$M$41+J84*'Factores generales'!$N$41,I84*'Factores generales'!$M$41+J84*'Factores generales'!$N$41)</f>
        <v>5688.54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Actividad'!$O81*'FE Sectorial'!$H84*'FE Sectorial'!I84*'FE Sectorial'!P84/1000</f>
        <v>255204.47454793248</v>
      </c>
      <c r="I85" s="95">
        <f>'Datos Actividad'!$O81*'FE Sectorial'!$H84*'FE Sectorial'!J84/1000/1000</f>
        <v>88.001542947562925</v>
      </c>
      <c r="J85" s="17">
        <f>'Datos Actividad'!$O81*'FE Sectorial'!$H84*'FE Sectorial'!K84/1000/1000</f>
        <v>11.733539059675056</v>
      </c>
      <c r="K85" s="17">
        <f>'Datos Actividad'!$O81*'FE Sectorial'!$H84*'FE Sectorial'!L84/1000/1000</f>
        <v>293.33847649187641</v>
      </c>
      <c r="L85" s="17">
        <f>'Datos Actividad'!$O81*'FE Sectorial'!$H84*'FE Sectorial'!M84/1000/1000</f>
        <v>11733.539059675057</v>
      </c>
      <c r="M85" s="17">
        <f>'Datos Actividad'!$O81*'FE Sectorial'!$H84*'FE Sectorial'!N84/1000/1000</f>
        <v>146.6692382459382</v>
      </c>
      <c r="N85" s="17">
        <f>'Datos Actividad'!$O81*'FE Sectorial'!$H84*'FE Sectorial'!O84/1000/1000</f>
        <v>0</v>
      </c>
      <c r="O85" s="87">
        <f>IF(D85&lt;400,H85+I85*'Factores generales'!$M$41+J85*'Factores generales'!$N$41,I85*'Factores generales'!$M$41+J85*'Factores generales'!$N$41)</f>
        <v>5485.4295103980894</v>
      </c>
    </row>
    <row r="86" spans="2:15" outlineLevel="1" x14ac:dyDescent="0.25">
      <c r="B86" s="1" t="s">
        <v>38</v>
      </c>
      <c r="G86" s="1"/>
      <c r="H86" s="15">
        <f>H87+H88</f>
        <v>230757.02132234399</v>
      </c>
      <c r="I86" s="15">
        <f>I87+I88+I89</f>
        <v>4.1347831920000004</v>
      </c>
      <c r="J86" s="15">
        <f t="shared" ref="J86:O86" si="20">J87+J88+J89</f>
        <v>0.41362021920000008</v>
      </c>
      <c r="K86" s="15">
        <f t="shared" si="20"/>
        <v>620.09922880000011</v>
      </c>
      <c r="L86" s="15">
        <f t="shared" si="20"/>
        <v>124.00565576</v>
      </c>
      <c r="M86" s="15">
        <f t="shared" si="20"/>
        <v>20.669185960000004</v>
      </c>
      <c r="N86" s="15">
        <f t="shared" si="20"/>
        <v>1.7160000000000002E-2</v>
      </c>
      <c r="O86" s="15">
        <f t="shared" si="20"/>
        <v>230972.07403732796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Actividad'!$O83*'FE Sectorial'!$H86*'FE Sectorial'!I86*'FE Sectorial'!P86/1000</f>
        <v>230722.32251534399</v>
      </c>
      <c r="I87" s="17">
        <f>'Datos Actividad'!$O83*'FE Sectorial'!$H86*'FE Sectorial'!J86/1000/1000</f>
        <v>4.1333641920000002</v>
      </c>
      <c r="J87" s="17">
        <f>'Datos Actividad'!$O83*'FE Sectorial'!$H86*'FE Sectorial'!K86/1000/1000</f>
        <v>0.41333641920000008</v>
      </c>
      <c r="K87" s="17">
        <f>'Datos Actividad'!$O83*'FE Sectorial'!$H86*'FE Sectorial'!L86/1000/1000</f>
        <v>620.00462880000009</v>
      </c>
      <c r="L87" s="17">
        <f>'Datos Actividad'!$O83*'FE Sectorial'!$H86*'FE Sectorial'!M86/1000/1000</f>
        <v>124.00092576</v>
      </c>
      <c r="M87" s="17">
        <f>'Datos Actividad'!$O83*'FE Sectorial'!$H86*'FE Sectorial'!N86/1000/1000</f>
        <v>20.666820960000003</v>
      </c>
      <c r="N87" s="17">
        <f>'Datos Actividad'!$O83*'FE Sectorial'!$H86*'FE Sectorial'!O86/1000/1000</f>
        <v>0</v>
      </c>
      <c r="O87" s="87">
        <f>IF(D87&lt;400,H87+I87*'Factores generales'!$M$41+J87*'Factores generales'!$N$41,I87*'Factores generales'!$M$41+J87*'Factores generales'!$N$41)</f>
        <v>230937.25745332797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Actividad'!$O84*'FE Sectorial'!$H87*'FE Sectorial'!I87*'FE Sectorial'!P87/1000</f>
        <v>34.698806999999995</v>
      </c>
      <c r="I88" s="17">
        <f>'Datos Actividad'!$O84*'FE Sectorial'!$H87*'FE Sectorial'!J87/1000/1000</f>
        <v>1.4190000000000001E-3</v>
      </c>
      <c r="J88" s="17">
        <f>'Datos Actividad'!$O84*'FE Sectorial'!$H87*'FE Sectorial'!K87/1000/1000</f>
        <v>2.8380000000000001E-4</v>
      </c>
      <c r="K88" s="17">
        <f>'Datos Actividad'!$O84*'FE Sectorial'!$H87*'FE Sectorial'!L87/1000/1000</f>
        <v>9.459999999999999E-2</v>
      </c>
      <c r="L88" s="17">
        <f>'Datos Actividad'!$O84*'FE Sectorial'!$H87*'FE Sectorial'!M87/1000/1000</f>
        <v>4.7300000000000007E-3</v>
      </c>
      <c r="M88" s="17">
        <f>'Datos Actividad'!$O84*'FE Sectorial'!$H87*'FE Sectorial'!N87/1000/1000</f>
        <v>2.3650000000000003E-3</v>
      </c>
      <c r="N88" s="17">
        <f>'Datos Actividad'!$O84*'FE Sectorial'!$H87*'FE Sectorial'!O87/1000/1000</f>
        <v>1.7160000000000002E-2</v>
      </c>
      <c r="O88" s="87">
        <f>IF(D88&lt;400,H88+I88*'Factores generales'!$M$41+J88*'Factores generales'!$N$41,I88*'Factores generales'!$M$41+J88*'Factores generales'!$N$41)</f>
        <v>34.816583999999992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Actividad'!$O85*'FE Sectorial'!$H88*'FE Sectorial'!I88*'FE Sectorial'!P88/1000</f>
        <v>0</v>
      </c>
      <c r="I89" s="95">
        <f>'Datos Actividad'!$O85*'FE Sectorial'!$H88*'FE Sectorial'!J88/1000/1000</f>
        <v>0</v>
      </c>
      <c r="J89" s="17">
        <f>'Datos Actividad'!$O85*'FE Sectorial'!$H88*'FE Sectorial'!K88/1000/1000</f>
        <v>0</v>
      </c>
      <c r="K89" s="17">
        <f>'Datos Actividad'!$O85*'FE Sectorial'!$H88*'FE Sectorial'!L88/1000/1000</f>
        <v>0</v>
      </c>
      <c r="L89" s="17">
        <f>'Datos Actividad'!$O85*'FE Sectorial'!$H88*'FE Sectorial'!M88/1000/1000</f>
        <v>0</v>
      </c>
      <c r="M89" s="17">
        <f>'Datos Actividad'!$O85*'FE Sectorial'!$H88*'FE Sectorial'!N88/1000/1000</f>
        <v>0</v>
      </c>
      <c r="N89" s="17">
        <f>'Datos Actividad'!$O85*'FE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3824797.7197924606</v>
      </c>
      <c r="I90" s="15">
        <f t="shared" si="21"/>
        <v>68.950956361709785</v>
      </c>
      <c r="J90" s="15">
        <f t="shared" si="21"/>
        <v>6.9720501961709811</v>
      </c>
      <c r="K90" s="15">
        <f t="shared" si="21"/>
        <v>10278.514654256469</v>
      </c>
      <c r="L90" s="15">
        <f t="shared" si="21"/>
        <v>2048.0074748512939</v>
      </c>
      <c r="M90" s="15">
        <f t="shared" si="21"/>
        <v>342.189629808549</v>
      </c>
      <c r="N90" s="15">
        <f t="shared" si="21"/>
        <v>15.631359999999999</v>
      </c>
      <c r="O90" s="15">
        <f t="shared" si="21"/>
        <v>3828407.0254368694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Actividad'!$O87*'FE Sectorial'!$H90*'FE Sectorial'!I90*'FE Sectorial'!P90/1000</f>
        <v>3805852.2580132606</v>
      </c>
      <c r="I91" s="17">
        <f>'Datos Actividad'!$O87*'FE Sectorial'!$H90*'FE Sectorial'!J90/1000/1000</f>
        <v>68.181410761709785</v>
      </c>
      <c r="J91" s="17">
        <f>'Datos Actividad'!$O87*'FE Sectorial'!$H90*'FE Sectorial'!K90/1000/1000</f>
        <v>6.8181410761709804</v>
      </c>
      <c r="K91" s="17">
        <f>'Datos Actividad'!$O87*'FE Sectorial'!$H90*'FE Sectorial'!L90/1000/1000</f>
        <v>10227.21161425647</v>
      </c>
      <c r="L91" s="17">
        <f>'Datos Actividad'!$O87*'FE Sectorial'!$H90*'FE Sectorial'!M90/1000/1000</f>
        <v>2045.4423228512937</v>
      </c>
      <c r="M91" s="17">
        <f>'Datos Actividad'!$O87*'FE Sectorial'!$H90*'FE Sectorial'!N90/1000/1000</f>
        <v>340.90705380854899</v>
      </c>
      <c r="N91" s="17">
        <f>'Datos Actividad'!$O87*'FE Sectorial'!$H90*'FE Sectorial'!O90/1000/1000</f>
        <v>0</v>
      </c>
      <c r="O91" s="87">
        <f>IF(D91&lt;400,H91+I91*'Factores generales'!$M$41+J91*'Factores generales'!$N$41,I91*'Factores generales'!$M$41+J91*'Factores generales'!$N$41)</f>
        <v>3809397.6913728695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Actividad'!$O88*'FE Sectorial'!$H91*'FE Sectorial'!I91*'FE Sectorial'!P91/1000</f>
        <v>15948.833471999998</v>
      </c>
      <c r="I92" s="17">
        <f>'Datos Actividad'!$O88*'FE Sectorial'!$H91*'FE Sectorial'!J91/1000/1000</f>
        <v>0.65222400000000003</v>
      </c>
      <c r="J92" s="17">
        <f>'Datos Actividad'!$O88*'FE Sectorial'!$H91*'FE Sectorial'!K91/1000/1000</f>
        <v>0.1304448</v>
      </c>
      <c r="K92" s="17">
        <f>'Datos Actividad'!$O88*'FE Sectorial'!$H91*'FE Sectorial'!L91/1000/1000</f>
        <v>43.4816</v>
      </c>
      <c r="L92" s="17">
        <f>'Datos Actividad'!$O88*'FE Sectorial'!$H91*'FE Sectorial'!M91/1000/1000</f>
        <v>2.17408</v>
      </c>
      <c r="M92" s="17">
        <f>'Datos Actividad'!$O88*'FE Sectorial'!$H91*'FE Sectorial'!N91/1000/1000</f>
        <v>1.08704</v>
      </c>
      <c r="N92" s="17">
        <f>'Datos Actividad'!$O88*'FE Sectorial'!$H91*'FE Sectorial'!O91/1000/1000</f>
        <v>7.8873599999999993</v>
      </c>
      <c r="O92" s="87">
        <f>IF(D92&lt;400,H92+I92*'Factores generales'!$M$41+J92*'Factores generales'!$N$41,I92*'Factores generales'!$M$41+J92*'Factores generales'!$N$41)</f>
        <v>16002.968063999999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Actividad'!$O89*'FE Sectorial'!$H92*'FE Sectorial'!I92*'FE Sectorial'!P92/1000</f>
        <v>2996.6283071999997</v>
      </c>
      <c r="I93" s="17">
        <f>'Datos Actividad'!$O89*'FE Sectorial'!$H92*'FE Sectorial'!J92/1000/1000</f>
        <v>0.11732159999999998</v>
      </c>
      <c r="J93" s="17">
        <f>'Datos Actividad'!$O89*'FE Sectorial'!$H92*'FE Sectorial'!K92/1000/1000</f>
        <v>2.3464319999999997E-2</v>
      </c>
      <c r="K93" s="17">
        <f>'Datos Actividad'!$O89*'FE Sectorial'!$H92*'FE Sectorial'!L92/1000/1000</f>
        <v>7.8214399999999991</v>
      </c>
      <c r="L93" s="17">
        <f>'Datos Actividad'!$O89*'FE Sectorial'!$H92*'FE Sectorial'!M92/1000/1000</f>
        <v>0.39107199999999998</v>
      </c>
      <c r="M93" s="17">
        <f>'Datos Actividad'!$O89*'FE Sectorial'!$H92*'FE Sectorial'!N92/1000/1000</f>
        <v>0.19553599999999999</v>
      </c>
      <c r="N93" s="17">
        <f>'Datos Actividad'!$O89*'FE Sectorial'!$H92*'FE Sectorial'!O92/1000/1000</f>
        <v>7.7439999999999998</v>
      </c>
      <c r="O93" s="87">
        <f>IF(D93&lt;400,H93+I93*'Factores generales'!$M$41+J93*'Factores generales'!$N$41,I93*'Factores generales'!$M$41+J93*'Factores generales'!$N$41)</f>
        <v>3006.3659999999995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1616532.8182806564</v>
      </c>
      <c r="I94" s="15">
        <f t="shared" ref="I94:O94" si="22">SUM(I95:I100)</f>
        <v>44.776938745712926</v>
      </c>
      <c r="J94" s="15">
        <f t="shared" si="22"/>
        <v>7.6508580687772874</v>
      </c>
      <c r="K94" s="15">
        <f t="shared" si="22"/>
        <v>4072.2373166852758</v>
      </c>
      <c r="L94" s="15">
        <f t="shared" si="22"/>
        <v>497.13104391645572</v>
      </c>
      <c r="M94" s="15">
        <f t="shared" si="22"/>
        <v>118.11255392169812</v>
      </c>
      <c r="N94" s="15">
        <f t="shared" si="22"/>
        <v>1709.8621461347166</v>
      </c>
      <c r="O94" s="15">
        <f t="shared" si="22"/>
        <v>1619844.8999956371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Actividad'!$O91*'FE Sectorial'!$H94*'FE Sectorial'!I94*'FE Sectorial'!P94/1000</f>
        <v>0</v>
      </c>
      <c r="I95" s="17">
        <f>'Datos Actividad'!$O91*'FE Sectorial'!$H94*'FE Sectorial'!J94/1000/1000</f>
        <v>0</v>
      </c>
      <c r="J95" s="17">
        <f>'Datos Actividad'!$O91*'FE Sectorial'!$H94*'FE Sectorial'!K94/1000/1000</f>
        <v>0</v>
      </c>
      <c r="K95" s="17">
        <f>'Datos Actividad'!$O91*'FE Sectorial'!$H94*'FE Sectorial'!L94/1000/1000</f>
        <v>0</v>
      </c>
      <c r="L95" s="17">
        <f>'Datos Actividad'!$O91*'FE Sectorial'!$H94*'FE Sectorial'!M94/1000/1000</f>
        <v>0</v>
      </c>
      <c r="M95" s="17">
        <f>'Datos Actividad'!$O91*'FE Sectorial'!$H94*'FE Sectorial'!N94/1000/1000</f>
        <v>0</v>
      </c>
      <c r="N95" s="17">
        <f>'Datos Actividad'!$O91*'FE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Actividad'!$O92*'FE Sectorial'!$H95*'FE Sectorial'!I95*'FE Sectorial'!P95/1000</f>
        <v>814926.6460273976</v>
      </c>
      <c r="I96" s="17">
        <f>'Datos Actividad'!$O92*'FE Sectorial'!$H95*'FE Sectorial'!J95/1000/1000</f>
        <v>13.045296803652974</v>
      </c>
      <c r="J96" s="17">
        <f>'Datos Actividad'!$O92*'FE Sectorial'!$H95*'FE Sectorial'!K95/1000/1000</f>
        <v>1.3045296803652975</v>
      </c>
      <c r="K96" s="17">
        <f>'Datos Actividad'!$O92*'FE Sectorial'!$H95*'FE Sectorial'!L95/1000/1000</f>
        <v>1956.7945205479459</v>
      </c>
      <c r="L96" s="17">
        <f>'Datos Actividad'!$O92*'FE Sectorial'!$H95*'FE Sectorial'!M95/1000/1000</f>
        <v>391.35890410958922</v>
      </c>
      <c r="M96" s="17">
        <f>'Datos Actividad'!$O92*'FE Sectorial'!$H95*'FE Sectorial'!N95/1000/1000</f>
        <v>65.22648401826487</v>
      </c>
      <c r="N96" s="17">
        <f>'Datos Actividad'!$O92*'FE Sectorial'!$H95*'FE Sectorial'!O95/1000/1000</f>
        <v>55.159817351598214</v>
      </c>
      <c r="O96" s="87">
        <f>IF(D96&lt;400,H96+I96*'Factores generales'!$M$41+J96*'Factores generales'!$N$41,I96*'Factores generales'!$M$41+J96*'Factores generales'!$N$41)</f>
        <v>815605.00146118761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Actividad'!$O93*'FE Sectorial'!$H96*'FE Sectorial'!I96*'FE Sectorial'!P96/1000</f>
        <v>199473.29809242382</v>
      </c>
      <c r="I97" s="17">
        <f>'Datos Actividad'!$O93*'FE Sectorial'!$H96*'FE Sectorial'!J96/1000/1000</f>
        <v>8.1574161899326807</v>
      </c>
      <c r="J97" s="17">
        <f>'Datos Actividad'!$O93*'FE Sectorial'!$H96*'FE Sectorial'!K96/1000/1000</f>
        <v>1.6314832379865361</v>
      </c>
      <c r="K97" s="17">
        <f>'Datos Actividad'!$O93*'FE Sectorial'!$H96*'FE Sectorial'!L96/1000/1000</f>
        <v>543.82774599551203</v>
      </c>
      <c r="L97" s="17">
        <f>'Datos Actividad'!$O93*'FE Sectorial'!$H96*'FE Sectorial'!M96/1000/1000</f>
        <v>27.191387299775602</v>
      </c>
      <c r="M97" s="17">
        <f>'Datos Actividad'!$O93*'FE Sectorial'!$H96*'FE Sectorial'!N96/1000/1000</f>
        <v>13.595693649887801</v>
      </c>
      <c r="N97" s="17">
        <f>'Datos Actividad'!$O93*'FE Sectorial'!$H96*'FE Sectorial'!O96/1000/1000</f>
        <v>98.647823692209172</v>
      </c>
      <c r="O97" s="87">
        <f>IF(D97&lt;400,H97+I97*'Factores generales'!$M$41+J97*'Factores generales'!$N$41,I97*'Factores generales'!$M$41+J97*'Factores generales'!$N$41)</f>
        <v>200150.36363618821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Actividad'!$O94*'FE Sectorial'!$H97*'FE Sectorial'!I97*'FE Sectorial'!P97/1000</f>
        <v>602132.87416083482</v>
      </c>
      <c r="I98" s="17">
        <f>'Datos Actividad'!$O94*'FE Sectorial'!$H97*'FE Sectorial'!J97/1000/1000</f>
        <v>23.574225752127269</v>
      </c>
      <c r="J98" s="17">
        <f>'Datos Actividad'!$O94*'FE Sectorial'!$H97*'FE Sectorial'!K97/1000/1000</f>
        <v>4.7148451504254538</v>
      </c>
      <c r="K98" s="17">
        <f>'Datos Actividad'!$O94*'FE Sectorial'!$H97*'FE Sectorial'!L97/1000/1000</f>
        <v>1571.6150501418181</v>
      </c>
      <c r="L98" s="17">
        <f>'Datos Actividad'!$O94*'FE Sectorial'!$H97*'FE Sectorial'!M97/1000/1000</f>
        <v>78.580752507090907</v>
      </c>
      <c r="M98" s="17">
        <f>'Datos Actividad'!$O94*'FE Sectorial'!$H97*'FE Sectorial'!N97/1000/1000</f>
        <v>39.290376253545453</v>
      </c>
      <c r="N98" s="17">
        <f>'Datos Actividad'!$O94*'FE Sectorial'!$H97*'FE Sectorial'!O97/1000/1000</f>
        <v>1556.0545050909091</v>
      </c>
      <c r="O98" s="87">
        <f>IF(D98&lt;400,H98+I98*'Factores generales'!$M$41+J98*'Factores generales'!$N$41,I98*'Factores generales'!$M$41+J98*'Factores generales'!$N$41)</f>
        <v>604089.53489826142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Actividad'!$O95*'FE Sectorial'!$H98*'FE Sectorial'!I98*'FE Sectorial'!P98/1000</f>
        <v>0</v>
      </c>
      <c r="I99" s="17">
        <f>'Datos Actividad'!$O95*'FE Sectorial'!$H98*'FE Sectorial'!J98/1000/1000</f>
        <v>0</v>
      </c>
      <c r="J99" s="17">
        <f>'Datos Actividad'!$O95*'FE Sectorial'!$H98*'FE Sectorial'!K98/1000/1000</f>
        <v>0</v>
      </c>
      <c r="K99" s="17">
        <f>'Datos Actividad'!$O95*'FE Sectorial'!$H98*'FE Sectorial'!L98/1000/1000</f>
        <v>0</v>
      </c>
      <c r="L99" s="17">
        <f>'Datos Actividad'!$O95*'FE Sectorial'!$H98*'FE Sectorial'!M98/1000/1000</f>
        <v>0</v>
      </c>
      <c r="M99" s="17">
        <f>'Datos Actividad'!$O95*'FE Sectorial'!$H98*'FE Sectorial'!N98/1000/1000</f>
        <v>0</v>
      </c>
      <c r="N99" s="17">
        <f>'Datos Actividad'!$O95*'FE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Actividad'!$O96*'FE Sectorial'!$H99*'FE Sectorial'!I99*'FE Sectorial'!P99/1000</f>
        <v>0</v>
      </c>
      <c r="I100" s="17">
        <f>'Datos Actividad'!$O96*'FE Sectorial'!$H99*'FE Sectorial'!J99/1000/1000</f>
        <v>0</v>
      </c>
      <c r="J100" s="17">
        <f>'Datos Actividad'!$O96*'FE Sectorial'!$H99*'FE Sectorial'!K99/1000/1000</f>
        <v>0</v>
      </c>
      <c r="K100" s="17">
        <f>'Datos Actividad'!$O96*'FE Sectorial'!$H99*'FE Sectorial'!L99/1000/1000</f>
        <v>0</v>
      </c>
      <c r="L100" s="17">
        <f>'Datos Actividad'!$O96*'FE Sectorial'!$H99*'FE Sectorial'!M99/1000/1000</f>
        <v>0</v>
      </c>
      <c r="M100" s="17">
        <f>'Datos Actividad'!$O96*'FE Sectorial'!$H99*'FE Sectorial'!N99/1000/1000</f>
        <v>0</v>
      </c>
      <c r="N100" s="17">
        <f>'Datos Actividad'!$O96*'FE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33940847.039636619</v>
      </c>
      <c r="I101" s="129">
        <f t="shared" si="23"/>
        <v>11915.080113318743</v>
      </c>
      <c r="J101" s="129">
        <f t="shared" si="23"/>
        <v>2150.6898495100641</v>
      </c>
      <c r="K101" s="129">
        <f t="shared" si="23"/>
        <v>333499.75014007976</v>
      </c>
      <c r="L101" s="129">
        <f t="shared" si="23"/>
        <v>1087584.4122876737</v>
      </c>
      <c r="M101" s="129">
        <f t="shared" si="23"/>
        <v>201271.19374884892</v>
      </c>
      <c r="N101" s="129">
        <f t="shared" si="23"/>
        <v>10724.616706379715</v>
      </c>
      <c r="O101" s="129">
        <f t="shared" si="23"/>
        <v>34857777.575364433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984299.85505051212</v>
      </c>
      <c r="I102" s="134">
        <f t="shared" ref="I102:O102" si="24">I105</f>
        <v>6.9527432016000006</v>
      </c>
      <c r="J102" s="134">
        <f t="shared" si="24"/>
        <v>27.810972806400002</v>
      </c>
      <c r="K102" s="134">
        <f t="shared" si="24"/>
        <v>3476.3716008000001</v>
      </c>
      <c r="L102" s="134">
        <f t="shared" si="24"/>
        <v>1390.5486403200002</v>
      </c>
      <c r="M102" s="134">
        <f t="shared" si="24"/>
        <v>695.27432016000012</v>
      </c>
      <c r="N102" s="134">
        <f t="shared" si="24"/>
        <v>630.63430400000004</v>
      </c>
      <c r="O102" s="134">
        <f t="shared" si="24"/>
        <v>993067.26422772976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1896250.9820173918</v>
      </c>
      <c r="I103" s="15">
        <f t="shared" ref="I103:O103" si="25">I104</f>
        <v>13.394440785600002</v>
      </c>
      <c r="J103" s="15">
        <f t="shared" si="25"/>
        <v>53.577763142400009</v>
      </c>
      <c r="K103" s="15">
        <f t="shared" si="25"/>
        <v>6697.2203928000008</v>
      </c>
      <c r="L103" s="15">
        <f t="shared" si="25"/>
        <v>2678.8881571200004</v>
      </c>
      <c r="M103" s="15">
        <f t="shared" si="25"/>
        <v>1339.4440785600002</v>
      </c>
      <c r="N103" s="15">
        <f t="shared" si="25"/>
        <v>1214.915264</v>
      </c>
      <c r="O103" s="15">
        <f t="shared" si="25"/>
        <v>1913141.3718480335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Actividad'!$O100*'FE Sectorial'!$H103*'FE Sectorial'!I103*'FE Sectorial'!P103/1000</f>
        <v>1896250.9820173918</v>
      </c>
      <c r="I104" s="17">
        <f>'Datos Actividad'!$O100*'FE Sectorial'!$H103*'FE Sectorial'!J103/1000/1000</f>
        <v>13.394440785600002</v>
      </c>
      <c r="J104" s="17">
        <f>'Datos Actividad'!$O100*'FE Sectorial'!$H103*'FE Sectorial'!K103/1000/1000</f>
        <v>53.577763142400009</v>
      </c>
      <c r="K104" s="17">
        <f>'Datos Actividad'!$O100*'FE Sectorial'!$H103*'FE Sectorial'!L103/1000/1000</f>
        <v>6697.2203928000008</v>
      </c>
      <c r="L104" s="17">
        <f>'Datos Actividad'!$O100*'FE Sectorial'!$H103*'FE Sectorial'!M103/1000/1000</f>
        <v>2678.8881571200004</v>
      </c>
      <c r="M104" s="17">
        <f>'Datos Actividad'!$O100*'FE Sectorial'!$H103*'FE Sectorial'!N103/1000/1000</f>
        <v>1339.4440785600002</v>
      </c>
      <c r="N104" s="17">
        <f>'Datos Actividad'!$O100*'FE Sectorial'!$H103*'FE Sectorial'!O103/1000/1000</f>
        <v>1214.915264</v>
      </c>
      <c r="O104" s="87">
        <f>IF(D104&lt;400,H104+I104*'Factores generales'!$M$41+J104*'Factores generales'!$N$41,I104*'Factores generales'!$M$41+J104*'Factores generales'!$N$41)</f>
        <v>1913141.3718480335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984299.85505051212</v>
      </c>
      <c r="I105" s="15">
        <f t="shared" ref="I105:O105" si="26">I106</f>
        <v>6.9527432016000006</v>
      </c>
      <c r="J105" s="15">
        <f t="shared" si="26"/>
        <v>27.810972806400002</v>
      </c>
      <c r="K105" s="15">
        <f t="shared" si="26"/>
        <v>3476.3716008000001</v>
      </c>
      <c r="L105" s="15">
        <f t="shared" si="26"/>
        <v>1390.5486403200002</v>
      </c>
      <c r="M105" s="15">
        <f t="shared" si="26"/>
        <v>695.27432016000012</v>
      </c>
      <c r="N105" s="15">
        <f t="shared" si="26"/>
        <v>630.63430400000004</v>
      </c>
      <c r="O105" s="15">
        <f t="shared" si="26"/>
        <v>993067.26422772976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Actividad'!$O102*'FE Sectorial'!$H105*'FE Sectorial'!I105*'FE Sectorial'!P105/1000</f>
        <v>984299.85505051212</v>
      </c>
      <c r="I106" s="17">
        <f>'Datos Actividad'!$O102*'FE Sectorial'!$H105*'FE Sectorial'!J105/1000/1000</f>
        <v>6.9527432016000006</v>
      </c>
      <c r="J106" s="17">
        <f>'Datos Actividad'!$O102*'FE Sectorial'!$H105*'FE Sectorial'!K105/1000/1000</f>
        <v>27.810972806400002</v>
      </c>
      <c r="K106" s="17">
        <f>'Datos Actividad'!$O102*'FE Sectorial'!$H105*'FE Sectorial'!L105/1000/1000</f>
        <v>3476.3716008000001</v>
      </c>
      <c r="L106" s="17">
        <f>'Datos Actividad'!$O102*'FE Sectorial'!$H105*'FE Sectorial'!M105/1000/1000</f>
        <v>1390.5486403200002</v>
      </c>
      <c r="M106" s="17">
        <f>'Datos Actividad'!$O102*'FE Sectorial'!$H105*'FE Sectorial'!N105/1000/1000</f>
        <v>695.27432016000012</v>
      </c>
      <c r="N106" s="17">
        <f>'Datos Actividad'!$O102*'FE Sectorial'!$H105*'FE Sectorial'!O105/1000/1000</f>
        <v>630.63430400000004</v>
      </c>
      <c r="O106" s="87">
        <f>IF(D106&lt;400,H106+I106*'Factores generales'!$M$41+J106*'Factores generales'!$N$41,I106*'Factores generales'!$M$41+J106*'Factores generales'!$N$41)</f>
        <v>993067.26422772976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30542578.47653693</v>
      </c>
      <c r="I107" s="134">
        <f t="shared" si="27"/>
        <v>11842.285109409662</v>
      </c>
      <c r="J107" s="134">
        <f t="shared" si="27"/>
        <v>2056.1354298147603</v>
      </c>
      <c r="K107" s="134">
        <f t="shared" si="27"/>
        <v>317660.60173338169</v>
      </c>
      <c r="L107" s="134">
        <f t="shared" si="27"/>
        <v>1080482.0096621052</v>
      </c>
      <c r="M107" s="134">
        <f t="shared" si="27"/>
        <v>199396.91354103925</v>
      </c>
      <c r="N107" s="134">
        <f t="shared" si="27"/>
        <v>9687.3798700944262</v>
      </c>
      <c r="O107" s="134">
        <f t="shared" si="27"/>
        <v>31428668.44707711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28492175.545746747</v>
      </c>
      <c r="I108" s="15">
        <f t="shared" ref="I108:O108" si="28">I109+I110+I111+I112+I113</f>
        <v>11733.279105646228</v>
      </c>
      <c r="J108" s="15">
        <f t="shared" si="28"/>
        <v>1947.1294260513268</v>
      </c>
      <c r="K108" s="15">
        <f t="shared" si="28"/>
        <v>295300.39583319018</v>
      </c>
      <c r="L108" s="15">
        <f t="shared" si="28"/>
        <v>1052531.7522868658</v>
      </c>
      <c r="M108" s="15">
        <f t="shared" si="28"/>
        <v>193806.86206599139</v>
      </c>
      <c r="N108" s="15">
        <f t="shared" si="28"/>
        <v>8673.370532760162</v>
      </c>
      <c r="O108" s="15">
        <f t="shared" si="28"/>
        <v>29342184.529041231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Actividad'!$O105*'FE Sectorial'!$H108*'FE Sectorial'!I108*'FE Sectorial'!P108/1000</f>
        <v>5085787.230891576</v>
      </c>
      <c r="I109" s="17">
        <f>'Datos Actividad'!$O105*'FE Sectorial'!$H108*'FE Sectorial'!J108/1000/1000</f>
        <v>8382.2396338560011</v>
      </c>
      <c r="J109" s="17">
        <f>'Datos Actividad'!$O105*'FE Sectorial'!$H108*'FE Sectorial'!K108/1000/1000</f>
        <v>273.33390110400001</v>
      </c>
      <c r="K109" s="17">
        <f>'Datos Actividad'!$O105*'FE Sectorial'!$H108*'FE Sectorial'!L108/1000/1000</f>
        <v>54666.780220800007</v>
      </c>
      <c r="L109" s="17">
        <f>'Datos Actividad'!$O105*'FE Sectorial'!$H108*'FE Sectorial'!M108/1000/1000</f>
        <v>36444.520147199997</v>
      </c>
      <c r="M109" s="17">
        <f>'Datos Actividad'!$O105*'FE Sectorial'!$H108*'FE Sectorial'!N108/1000/1000</f>
        <v>455.55650184000007</v>
      </c>
      <c r="N109" s="17">
        <f>'Datos Actividad'!$O105*'FE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5346547.7725447919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Actividad'!$O106*'FE Sectorial'!$H109*'FE Sectorial'!I109*'FE Sectorial'!P109/1000</f>
        <v>16637525.052440412</v>
      </c>
      <c r="I110" s="17">
        <f>'Datos Actividad'!$O106*'FE Sectorial'!$H109*'FE Sectorial'!J109/1000/1000</f>
        <v>884.50425584478546</v>
      </c>
      <c r="J110" s="17">
        <f>'Datos Actividad'!$O106*'FE Sectorial'!$H109*'FE Sectorial'!K109/1000/1000</f>
        <v>884.50425584478546</v>
      </c>
      <c r="K110" s="17">
        <f>'Datos Actividad'!$O106*'FE Sectorial'!$H109*'FE Sectorial'!L109/1000/1000</f>
        <v>181436.77042969959</v>
      </c>
      <c r="L110" s="17">
        <f>'Datos Actividad'!$O106*'FE Sectorial'!$H109*'FE Sectorial'!M109/1000/1000</f>
        <v>226795.96303712449</v>
      </c>
      <c r="M110" s="17">
        <f>'Datos Actividad'!$O106*'FE Sectorial'!$H109*'FE Sectorial'!N109/1000/1000</f>
        <v>45359.192607424899</v>
      </c>
      <c r="N110" s="17">
        <f>'Datos Actividad'!$O106*'FE Sectorial'!$H109*'FE Sectorial'!O109/1000/1000</f>
        <v>8227.9465659980051</v>
      </c>
      <c r="O110" s="87">
        <f>IF(D110&lt;400,H110+I110*'Factores generales'!$M$41+J110*'Factores generales'!$N$41,I110*'Factores generales'!$M$41+J110*'Factores generales'!$N$41)</f>
        <v>16930295.961125039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Actividad'!$O107*'FE Sectorial'!$H110*'FE Sectorial'!I110*'FE Sectorial'!P110/1000</f>
        <v>6768863.2624147572</v>
      </c>
      <c r="I111" s="17">
        <f>'Datos Actividad'!$O107*'FE Sectorial'!$H110*'FE Sectorial'!J110/1000/1000</f>
        <v>2466.5352159454419</v>
      </c>
      <c r="J111" s="17">
        <f>'Datos Actividad'!$O107*'FE Sectorial'!$H110*'FE Sectorial'!K110/1000/1000</f>
        <v>789.29126910254138</v>
      </c>
      <c r="K111" s="17">
        <f>'Datos Actividad'!$O107*'FE Sectorial'!$H110*'FE Sectorial'!L110/1000/1000</f>
        <v>59196.845182690595</v>
      </c>
      <c r="L111" s="17">
        <f>'Datos Actividad'!$O107*'FE Sectorial'!$H110*'FE Sectorial'!M110/1000/1000</f>
        <v>789291.26910254138</v>
      </c>
      <c r="M111" s="17">
        <f>'Datos Actividad'!$O107*'FE Sectorial'!$H110*'FE Sectorial'!N110/1000/1000</f>
        <v>147992.11295672649</v>
      </c>
      <c r="N111" s="17">
        <f>'Datos Actividad'!$O107*'FE Sectorial'!$H110*'FE Sectorial'!O110/1000/1000</f>
        <v>445.42396676215657</v>
      </c>
      <c r="O111" s="87">
        <f>IF(D111&lt;400,H111+I111*'Factores generales'!$M$41+J111*'Factores generales'!$N$41,I111*'Factores generales'!$M$41+J111*'Factores generales'!$N$41)</f>
        <v>7065340.7953713993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Actividad'!$O108*'FE Sectorial'!$H111*'FE Sectorial'!I111*'FE Sectorial'!P111/1000</f>
        <v>0</v>
      </c>
      <c r="I112" s="17">
        <f>'Datos Actividad'!$O108*'FE Sectorial'!$H111*'FE Sectorial'!J111/1000/1000</f>
        <v>0</v>
      </c>
      <c r="J112" s="17">
        <f>'Datos Actividad'!$O108*'FE Sectorial'!$H111*'FE Sectorial'!K111/1000/1000</f>
        <v>0</v>
      </c>
      <c r="K112" s="17">
        <f>'Datos Actividad'!$O108*'FE Sectorial'!$H111*'FE Sectorial'!L111/1000/1000</f>
        <v>0</v>
      </c>
      <c r="L112" s="17">
        <f>'Datos Actividad'!$O108*'FE Sectorial'!$H111*'FE Sectorial'!M111/1000/1000</f>
        <v>0</v>
      </c>
      <c r="M112" s="17">
        <f>'Datos Actividad'!$O108*'FE Sectorial'!$H111*'FE Sectorial'!N111/1000/1000</f>
        <v>0</v>
      </c>
      <c r="N112" s="17">
        <f>'Datos Actividad'!$O108*'FE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Actividad'!$O109*'FE Sectorial'!$H112*'FE Sectorial'!I112*'FE Sectorial'!P112/1000</f>
        <v>0</v>
      </c>
      <c r="I113" s="17">
        <f>'Datos Actividad'!$O109*'FE Sectorial'!$H112*'FE Sectorial'!J112/1000/1000</f>
        <v>0</v>
      </c>
      <c r="J113" s="17">
        <f>'Datos Actividad'!$O109*'FE Sectorial'!$H112*'FE Sectorial'!K112/1000/1000</f>
        <v>0</v>
      </c>
      <c r="K113" s="17">
        <f>'Datos Actividad'!$O109*'FE Sectorial'!$H112*'FE Sectorial'!L112/1000/1000</f>
        <v>0</v>
      </c>
      <c r="L113" s="17">
        <f>'Datos Actividad'!$O109*'FE Sectorial'!$H112*'FE Sectorial'!M112/1000/1000</f>
        <v>0</v>
      </c>
      <c r="M113" s="17">
        <f>'Datos Actividad'!$O109*'FE Sectorial'!$H112*'FE Sectorial'!N112/1000/1000</f>
        <v>0</v>
      </c>
      <c r="N113" s="17">
        <f>'Datos Actividad'!$O109*'FE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2050402.9307901838</v>
      </c>
      <c r="I114" s="15">
        <f t="shared" ref="I114:O114" si="29">I115</f>
        <v>109.00600376343348</v>
      </c>
      <c r="J114" s="15">
        <f t="shared" si="29"/>
        <v>109.00600376343348</v>
      </c>
      <c r="K114" s="15">
        <f t="shared" si="29"/>
        <v>22360.205900191486</v>
      </c>
      <c r="L114" s="15">
        <f t="shared" si="29"/>
        <v>27950.257375239358</v>
      </c>
      <c r="M114" s="15">
        <f t="shared" si="29"/>
        <v>5590.0514750478715</v>
      </c>
      <c r="N114" s="15">
        <f t="shared" si="29"/>
        <v>1014.0093373342651</v>
      </c>
      <c r="O114" s="15">
        <f t="shared" si="29"/>
        <v>2086483.9180358804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Actividad'!$O111*'FE Sectorial'!$H114*'FE Sectorial'!I114*'FE Sectorial'!P114/1000</f>
        <v>2050402.9307901838</v>
      </c>
      <c r="I115" s="17">
        <f>'Datos Actividad'!$O111*'FE Sectorial'!$H114*'FE Sectorial'!J114/1000/1000</f>
        <v>109.00600376343348</v>
      </c>
      <c r="J115" s="17">
        <f>'Datos Actividad'!$O111*'FE Sectorial'!$H114*'FE Sectorial'!K114/1000/1000</f>
        <v>109.00600376343348</v>
      </c>
      <c r="K115" s="17">
        <f>'Datos Actividad'!$O111*'FE Sectorial'!$H114*'FE Sectorial'!L114/1000/1000</f>
        <v>22360.205900191486</v>
      </c>
      <c r="L115" s="17">
        <f>'Datos Actividad'!$O111*'FE Sectorial'!$H114*'FE Sectorial'!M114/1000/1000</f>
        <v>27950.257375239358</v>
      </c>
      <c r="M115" s="17">
        <f>'Datos Actividad'!$O111*'FE Sectorial'!$H114*'FE Sectorial'!N114/1000/1000</f>
        <v>5590.0514750478715</v>
      </c>
      <c r="N115" s="17">
        <f>'Datos Actividad'!$O111*'FE Sectorial'!$H114*'FE Sectorial'!O114/1000/1000</f>
        <v>1014.0093373342651</v>
      </c>
      <c r="O115" s="87">
        <f>IF(D115&lt;400,H115+I115*'Factores generales'!$M$41+J115*'Factores generales'!$N$41,I115*'Factores generales'!$M$41+J115*'Factores generales'!$N$41)</f>
        <v>2086483.9180358804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146456.516484338</v>
      </c>
      <c r="I116" s="134">
        <f t="shared" ref="I116:O116" si="30">I117</f>
        <v>8.2852075874807838</v>
      </c>
      <c r="J116" s="134">
        <f t="shared" si="30"/>
        <v>57.09805710890371</v>
      </c>
      <c r="K116" s="134">
        <f t="shared" si="30"/>
        <v>2395.7226758980578</v>
      </c>
      <c r="L116" s="134">
        <f t="shared" si="30"/>
        <v>1996.4355632483814</v>
      </c>
      <c r="M116" s="134">
        <f t="shared" si="30"/>
        <v>399.28711264967632</v>
      </c>
      <c r="N116" s="134">
        <f t="shared" si="30"/>
        <v>72.428825085290129</v>
      </c>
      <c r="O116" s="134">
        <f t="shared" si="30"/>
        <v>164330.90354743527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Actividad'!$O113*'FE Sectorial'!$H116*'FE Sectorial'!I116*'FE Sectorial'!P116/1000</f>
        <v>146456.516484338</v>
      </c>
      <c r="I117" s="17">
        <f>'Datos Actividad'!$O113*'FE Sectorial'!$H116*'FE Sectorial'!J116/1000/1000</f>
        <v>8.2852075874807838</v>
      </c>
      <c r="J117" s="17">
        <f>'Datos Actividad'!$O113*'FE Sectorial'!$H116*'FE Sectorial'!K116/1000/1000</f>
        <v>57.09805710890371</v>
      </c>
      <c r="K117" s="17">
        <f>'Datos Actividad'!$O113*'FE Sectorial'!$H116*'FE Sectorial'!L116/1000/1000</f>
        <v>2395.7226758980578</v>
      </c>
      <c r="L117" s="17">
        <f>'Datos Actividad'!$O113*'FE Sectorial'!$H116*'FE Sectorial'!M116/1000/1000</f>
        <v>1996.4355632483814</v>
      </c>
      <c r="M117" s="17">
        <f>'Datos Actividad'!$O113*'FE Sectorial'!$H116*'FE Sectorial'!N116/1000/1000</f>
        <v>399.28711264967632</v>
      </c>
      <c r="N117" s="17">
        <f>'Datos Actividad'!$O113*'FE Sectorial'!$H116*'FE Sectorial'!O116/1000/1000</f>
        <v>72.428825085290129</v>
      </c>
      <c r="O117" s="87">
        <f>IF(D117&lt;400,H117+I117*'Factores generales'!$M$41+J117*'Factores generales'!$N$41,I117*'Factores generales'!$M$41+J117*'Factores generales'!$N$41)</f>
        <v>164330.90354743527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223412.92185563996</v>
      </c>
      <c r="I118" s="134">
        <f t="shared" ref="I118:O118" si="31">I122</f>
        <v>20.885412519999996</v>
      </c>
      <c r="J118" s="134">
        <f t="shared" si="31"/>
        <v>5.9672607199999987</v>
      </c>
      <c r="K118" s="134">
        <f t="shared" si="31"/>
        <v>4475.4455399999988</v>
      </c>
      <c r="L118" s="134">
        <f t="shared" si="31"/>
        <v>2983.6303599999997</v>
      </c>
      <c r="M118" s="134">
        <f t="shared" si="31"/>
        <v>596.72607199999993</v>
      </c>
      <c r="N118" s="134">
        <f t="shared" si="31"/>
        <v>332.84770719999995</v>
      </c>
      <c r="O118" s="134">
        <f t="shared" si="31"/>
        <v>225701.36634175997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1712621.71911105</v>
      </c>
      <c r="I119" s="15">
        <f t="shared" ref="I119:O119" si="32">I120+I121</f>
        <v>158.31810224999998</v>
      </c>
      <c r="J119" s="15">
        <f t="shared" si="32"/>
        <v>45.233743499999996</v>
      </c>
      <c r="K119" s="15">
        <f t="shared" si="32"/>
        <v>33925.307625000001</v>
      </c>
      <c r="L119" s="15">
        <f t="shared" si="32"/>
        <v>22616.871749999998</v>
      </c>
      <c r="M119" s="15">
        <f t="shared" si="32"/>
        <v>4523.37435</v>
      </c>
      <c r="N119" s="15">
        <f t="shared" si="32"/>
        <v>3467.7115819999999</v>
      </c>
      <c r="O119" s="15">
        <f t="shared" si="32"/>
        <v>1729968.8597432999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Actividad'!$O116*'FE Sectorial'!$H119*'FE Sectorial'!I119*'FE Sectorial'!P119/1000</f>
        <v>458492.52857264993</v>
      </c>
      <c r="I120" s="17">
        <f>'Datos Actividad'!$O116*'FE Sectorial'!$H119*'FE Sectorial'!J119/1000/1000</f>
        <v>43.749883449999992</v>
      </c>
      <c r="J120" s="17">
        <f>'Datos Actividad'!$O116*'FE Sectorial'!$H119*'FE Sectorial'!K119/1000/1000</f>
        <v>12.4999667</v>
      </c>
      <c r="K120" s="17">
        <f>'Datos Actividad'!$O116*'FE Sectorial'!$H119*'FE Sectorial'!L119/1000/1000</f>
        <v>9374.9750249999997</v>
      </c>
      <c r="L120" s="17">
        <f>'Datos Actividad'!$O116*'FE Sectorial'!$H119*'FE Sectorial'!M119/1000/1000</f>
        <v>6249.9833499999995</v>
      </c>
      <c r="M120" s="17">
        <f>'Datos Actividad'!$O116*'FE Sectorial'!$H119*'FE Sectorial'!N119/1000/1000</f>
        <v>1249.99667</v>
      </c>
      <c r="N120" s="17">
        <f>'Datos Actividad'!$O116*'FE Sectorial'!$H119*'FE Sectorial'!O119/1000/1000</f>
        <v>226.743582</v>
      </c>
      <c r="O120" s="87">
        <f>IF(D120&lt;400,H120+I120*'Factores generales'!$M$41+J120*'Factores generales'!$N$41,I120*'Factores generales'!$M$41+J120*'Factores generales'!$N$41)</f>
        <v>463286.26580209989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Actividad'!$O117*'FE Sectorial'!$H120*'FE Sectorial'!I120*'FE Sectorial'!P120/1000</f>
        <v>1254129.1905384001</v>
      </c>
      <c r="I121" s="17">
        <f>'Datos Actividad'!$O117*'FE Sectorial'!$H120*'FE Sectorial'!J120/1000/1000</f>
        <v>114.56821879999998</v>
      </c>
      <c r="J121" s="17">
        <f>'Datos Actividad'!$O117*'FE Sectorial'!$H120*'FE Sectorial'!K120/1000/1000</f>
        <v>32.733776799999994</v>
      </c>
      <c r="K121" s="17">
        <f>'Datos Actividad'!$O117*'FE Sectorial'!$H120*'FE Sectorial'!L120/1000/1000</f>
        <v>24550.332599999998</v>
      </c>
      <c r="L121" s="17">
        <f>'Datos Actividad'!$O117*'FE Sectorial'!$H120*'FE Sectorial'!M120/1000/1000</f>
        <v>16366.888399999998</v>
      </c>
      <c r="M121" s="17">
        <f>'Datos Actividad'!$O117*'FE Sectorial'!$H120*'FE Sectorial'!N120/1000/1000</f>
        <v>3273.3776799999996</v>
      </c>
      <c r="N121" s="17">
        <f>'Datos Actividad'!$O117*'FE Sectorial'!$H120*'FE Sectorial'!O120/1000/1000</f>
        <v>3240.9679999999998</v>
      </c>
      <c r="O121" s="87">
        <f>IF(D121&lt;400,H121+I121*'Factores generales'!$M$41+J121*'Factores generales'!$N$41,I121*'Factores generales'!$M$41+J121*'Factores generales'!$N$41)</f>
        <v>1266682.5939412001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223412.92185563996</v>
      </c>
      <c r="I122" s="15">
        <f t="shared" ref="I122:O122" si="33">I123+I124</f>
        <v>20.885412519999996</v>
      </c>
      <c r="J122" s="15">
        <f t="shared" si="33"/>
        <v>5.9672607199999987</v>
      </c>
      <c r="K122" s="15">
        <f t="shared" si="33"/>
        <v>4475.4455399999988</v>
      </c>
      <c r="L122" s="15">
        <f t="shared" si="33"/>
        <v>2983.6303599999997</v>
      </c>
      <c r="M122" s="15">
        <f t="shared" si="33"/>
        <v>596.72607199999993</v>
      </c>
      <c r="N122" s="15">
        <f t="shared" si="33"/>
        <v>332.84770719999995</v>
      </c>
      <c r="O122" s="15">
        <f t="shared" si="33"/>
        <v>225701.36634175997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Actividad'!$O119*'FE Sectorial'!$H122*'FE Sectorial'!I122*'FE Sectorial'!P122/1000</f>
        <v>117004.75573643997</v>
      </c>
      <c r="I123" s="17">
        <f>'Datos Actividad'!$O119*'FE Sectorial'!$H122*'FE Sectorial'!J122/1000/1000</f>
        <v>11.164728119999998</v>
      </c>
      <c r="J123" s="17">
        <f>'Datos Actividad'!$O119*'FE Sectorial'!$H122*'FE Sectorial'!K122/1000/1000</f>
        <v>3.1899223199999991</v>
      </c>
      <c r="K123" s="17">
        <f>'Datos Actividad'!$O119*'FE Sectorial'!$H122*'FE Sectorial'!L122/1000/1000</f>
        <v>2392.4417399999993</v>
      </c>
      <c r="L123" s="17">
        <f>'Datos Actividad'!$O119*'FE Sectorial'!$H122*'FE Sectorial'!M122/1000/1000</f>
        <v>1594.9611599999996</v>
      </c>
      <c r="M123" s="17">
        <f>'Datos Actividad'!$O119*'FE Sectorial'!$H122*'FE Sectorial'!N122/1000/1000</f>
        <v>318.99223199999994</v>
      </c>
      <c r="N123" s="17">
        <f>'Datos Actividad'!$O119*'FE Sectorial'!$H122*'FE Sectorial'!O122/1000/1000</f>
        <v>57.863707199999993</v>
      </c>
      <c r="O123" s="87">
        <f>IF(D123&lt;400,H123+I123*'Factores generales'!$M$41+J123*'Factores generales'!$N$41,I123*'Factores generales'!$M$41+J123*'Factores generales'!$N$41)</f>
        <v>118228.09094615997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Actividad'!$O120*'FE Sectorial'!$H123*'FE Sectorial'!I123*'FE Sectorial'!P123/1000</f>
        <v>106408.16611919999</v>
      </c>
      <c r="I124" s="17">
        <f>'Datos Actividad'!$O120*'FE Sectorial'!$H123*'FE Sectorial'!J123/1000/1000</f>
        <v>9.7206843999999997</v>
      </c>
      <c r="J124" s="17">
        <f>'Datos Actividad'!$O120*'FE Sectorial'!$H123*'FE Sectorial'!K123/1000/1000</f>
        <v>2.7773384000000001</v>
      </c>
      <c r="K124" s="17">
        <f>'Datos Actividad'!$O120*'FE Sectorial'!$H123*'FE Sectorial'!L123/1000/1000</f>
        <v>2083.0038</v>
      </c>
      <c r="L124" s="17">
        <f>'Datos Actividad'!$O120*'FE Sectorial'!$H123*'FE Sectorial'!M123/1000/1000</f>
        <v>1388.6692</v>
      </c>
      <c r="M124" s="17">
        <f>'Datos Actividad'!$O120*'FE Sectorial'!$H123*'FE Sectorial'!N123/1000/1000</f>
        <v>277.73384000000004</v>
      </c>
      <c r="N124" s="17">
        <f>'Datos Actividad'!$O120*'FE Sectorial'!$H123*'FE Sectorial'!O123/1000/1000</f>
        <v>274.98399999999998</v>
      </c>
      <c r="O124" s="87">
        <f>IF(D124&lt;400,H124+I124*'Factores generales'!$M$41+J124*'Factores generales'!$N$41,I124*'Factores generales'!$M$41+J124*'Factores generales'!$N$41)</f>
        <v>107473.27539559999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2044099.2697092001</v>
      </c>
      <c r="I125" s="134">
        <f t="shared" si="34"/>
        <v>36.671640600000011</v>
      </c>
      <c r="J125" s="134">
        <f t="shared" si="34"/>
        <v>3.6781290599999998</v>
      </c>
      <c r="K125" s="134">
        <f t="shared" si="34"/>
        <v>5491.6085900000007</v>
      </c>
      <c r="L125" s="134">
        <f t="shared" si="34"/>
        <v>731.78806200000008</v>
      </c>
      <c r="M125" s="134">
        <f t="shared" si="34"/>
        <v>182.99270300000001</v>
      </c>
      <c r="N125" s="134">
        <f t="shared" si="34"/>
        <v>1.3260000000000003</v>
      </c>
      <c r="O125" s="134">
        <f t="shared" si="34"/>
        <v>2046009.5941703999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2044099.2697092001</v>
      </c>
      <c r="I126" s="15">
        <f t="shared" si="35"/>
        <v>36.671640600000011</v>
      </c>
      <c r="J126" s="15">
        <f t="shared" si="35"/>
        <v>3.6781290599999998</v>
      </c>
      <c r="K126" s="15">
        <f t="shared" si="35"/>
        <v>5491.6085900000007</v>
      </c>
      <c r="L126" s="15">
        <f t="shared" si="35"/>
        <v>731.78806200000008</v>
      </c>
      <c r="M126" s="15">
        <f t="shared" si="35"/>
        <v>182.99270300000001</v>
      </c>
      <c r="N126" s="15">
        <f t="shared" si="35"/>
        <v>1.3260000000000003</v>
      </c>
      <c r="O126" s="15">
        <f t="shared" si="35"/>
        <v>2046009.5941703999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Actividad'!$O123*'FE Sectorial'!$H126*'FE Sectorial'!I126*'FE Sectorial'!P126/1000</f>
        <v>2020452.9820991999</v>
      </c>
      <c r="I127" s="17">
        <f>'Datos Actividad'!$O123*'FE Sectorial'!$H126*'FE Sectorial'!J126/1000/1000</f>
        <v>36.196185600000007</v>
      </c>
      <c r="J127" s="17">
        <f>'Datos Actividad'!$O123*'FE Sectorial'!$H126*'FE Sectorial'!K126/1000/1000</f>
        <v>3.6196185600000002</v>
      </c>
      <c r="K127" s="17">
        <f>'Datos Actividad'!$O123*'FE Sectorial'!$H126*'FE Sectorial'!L126/1000/1000</f>
        <v>5429.4278400000003</v>
      </c>
      <c r="L127" s="17">
        <f>'Datos Actividad'!$O123*'FE Sectorial'!$H126*'FE Sectorial'!M126/1000/1000</f>
        <v>723.92371200000002</v>
      </c>
      <c r="M127" s="17">
        <f>'Datos Actividad'!$O123*'FE Sectorial'!$H126*'FE Sectorial'!N126/1000/1000</f>
        <v>180.98092800000001</v>
      </c>
      <c r="N127" s="17">
        <f>'Datos Actividad'!$O123*'FE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2022335.1837503999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Actividad'!$O124*'FE Sectorial'!$H127*'FE Sectorial'!I127*'FE Sectorial'!P127/1000</f>
        <v>2681.2714500000006</v>
      </c>
      <c r="I128" s="17">
        <f>'Datos Actividad'!$O124*'FE Sectorial'!$H127*'FE Sectorial'!J127/1000/1000</f>
        <v>0.10965000000000004</v>
      </c>
      <c r="J128" s="17">
        <f>'Datos Actividad'!$O124*'FE Sectorial'!$H127*'FE Sectorial'!K127/1000/1000</f>
        <v>2.1930000000000002E-2</v>
      </c>
      <c r="K128" s="17">
        <f>'Datos Actividad'!$O124*'FE Sectorial'!$H127*'FE Sectorial'!L127/1000/1000</f>
        <v>7.3100000000000014</v>
      </c>
      <c r="L128" s="17">
        <f>'Datos Actividad'!$O124*'FE Sectorial'!$H127*'FE Sectorial'!M127/1000/1000</f>
        <v>0.54825000000000013</v>
      </c>
      <c r="M128" s="17">
        <f>'Datos Actividad'!$O124*'FE Sectorial'!$H127*'FE Sectorial'!N127/1000/1000</f>
        <v>0.18275000000000002</v>
      </c>
      <c r="N128" s="17">
        <f>'Datos Actividad'!$O124*'FE Sectorial'!$H127*'FE Sectorial'!O127/1000/1000</f>
        <v>1.3260000000000003</v>
      </c>
      <c r="O128" s="87">
        <f>IF(D128&lt;400,H128+I128*'Factores generales'!$M$41+J128*'Factores generales'!$N$41,I128*'Factores generales'!$M$41+J128*'Factores generales'!$N$41)</f>
        <v>2690.3724000000007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Actividad'!$O125*'FE Sectorial'!$H128*'FE Sectorial'!I128*'FE Sectorial'!P128/1000</f>
        <v>20965.016159999999</v>
      </c>
      <c r="I129" s="17">
        <f>'Datos Actividad'!$O125*'FE Sectorial'!$H128*'FE Sectorial'!J128/1000/1000</f>
        <v>0.36580499999999999</v>
      </c>
      <c r="J129" s="17">
        <f>'Datos Actividad'!$O125*'FE Sectorial'!$H128*'FE Sectorial'!K128/1000/1000</f>
        <v>3.6580500000000002E-2</v>
      </c>
      <c r="K129" s="17">
        <f>'Datos Actividad'!$O125*'FE Sectorial'!$H128*'FE Sectorial'!L128/1000/1000</f>
        <v>54.870750000000001</v>
      </c>
      <c r="L129" s="17">
        <f>'Datos Actividad'!$O125*'FE Sectorial'!$H128*'FE Sectorial'!M128/1000/1000</f>
        <v>7.3161000000000005</v>
      </c>
      <c r="M129" s="17">
        <f>'Datos Actividad'!$O125*'FE Sectorial'!$H128*'FE Sectorial'!N128/1000/1000</f>
        <v>1.8290250000000001</v>
      </c>
      <c r="N129" s="17">
        <f>'Datos Actividad'!$O125*'FE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20984.03802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28644045.640937921</v>
      </c>
      <c r="I131" s="129">
        <f t="shared" si="36"/>
        <v>3057.0061008873199</v>
      </c>
      <c r="J131" s="129">
        <f t="shared" si="36"/>
        <v>208.59966486039377</v>
      </c>
      <c r="K131" s="129">
        <f t="shared" si="36"/>
        <v>192356.37356770376</v>
      </c>
      <c r="L131" s="129">
        <f t="shared" si="36"/>
        <v>275947.91618877422</v>
      </c>
      <c r="M131" s="129">
        <f t="shared" si="36"/>
        <v>35004.851795950206</v>
      </c>
      <c r="N131" s="129">
        <f t="shared" si="36"/>
        <v>8279.9747146635509</v>
      </c>
      <c r="O131" s="129">
        <f t="shared" si="36"/>
        <v>28772908.665163279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3396779.5907604103</v>
      </c>
      <c r="I132" s="134">
        <f>SUM(I133:I137)</f>
        <v>227.71068628309465</v>
      </c>
      <c r="J132" s="134">
        <f t="shared" ref="J132:O132" si="37">SUM(J133:J137)</f>
        <v>29.298935203764088</v>
      </c>
      <c r="K132" s="134">
        <f t="shared" si="37"/>
        <v>9168.5739703232921</v>
      </c>
      <c r="L132" s="134">
        <f t="shared" si="37"/>
        <v>29689.965191509687</v>
      </c>
      <c r="M132" s="134">
        <f t="shared" si="37"/>
        <v>3517.8308396694169</v>
      </c>
      <c r="N132" s="134">
        <f t="shared" si="37"/>
        <v>1690.7784898875261</v>
      </c>
      <c r="O132" s="134">
        <f t="shared" si="37"/>
        <v>3410644.185085522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Actividad'!$O129*'FE Sectorial'!$H132*'FE Sectorial'!I132*'FE Sectorial'!P132/1000</f>
        <v>523529.58889104996</v>
      </c>
      <c r="I133" s="17">
        <f>'Datos Actividad'!$O129*'FE Sectorial'!$H132*'FE Sectorial'!J132/1000/1000</f>
        <v>161.18521825463361</v>
      </c>
      <c r="J133" s="17">
        <f>'Datos Actividad'!$O129*'FE Sectorial'!$H132*'FE Sectorial'!K132/1000/1000</f>
        <v>21.491362433951149</v>
      </c>
      <c r="K133" s="17">
        <f>'Datos Actividad'!$O129*'FE Sectorial'!$H132*'FE Sectorial'!L132/1000/1000</f>
        <v>537.28406084877872</v>
      </c>
      <c r="L133" s="17">
        <f>'Datos Actividad'!$O129*'FE Sectorial'!$H132*'FE Sectorial'!M132/1000/1000</f>
        <v>26864.203042438934</v>
      </c>
      <c r="M133" s="17">
        <f>'Datos Actividad'!$O129*'FE Sectorial'!$H132*'FE Sectorial'!N132/1000/1000</f>
        <v>3223.7043650926721</v>
      </c>
      <c r="N133" s="17">
        <f>'Datos Actividad'!$O129*'FE Sectorial'!$H132*'FE Sectorial'!O132/1000/1000</f>
        <v>1377.6514380737915</v>
      </c>
      <c r="O133" s="87">
        <f>IF(D133&lt;400,H133+I133*'Factores generales'!$M$41+J133*'Factores generales'!$N$41,I133*'Factores generales'!$M$41+J133*'Factores generales'!$N$41)</f>
        <v>10047.211937872162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Actividad'!$O130*'FE Sectorial'!$H133*'FE Sectorial'!I133*'FE Sectorial'!P133/1000</f>
        <v>2710263.9103649999</v>
      </c>
      <c r="I134" s="17">
        <f>'Datos Actividad'!$O130*'FE Sectorial'!$H133*'FE Sectorial'!J133/1000/1000</f>
        <v>48.554070000000003</v>
      </c>
      <c r="J134" s="17">
        <f>'Datos Actividad'!$O130*'FE Sectorial'!$H133*'FE Sectorial'!K133/1000/1000</f>
        <v>4.8554070000000005</v>
      </c>
      <c r="K134" s="17">
        <f>'Datos Actividad'!$O130*'FE Sectorial'!$H133*'FE Sectorial'!L133/1000/1000</f>
        <v>7283.1104999999998</v>
      </c>
      <c r="L134" s="17">
        <f>'Datos Actividad'!$O130*'FE Sectorial'!$H133*'FE Sectorial'!M133/1000/1000</f>
        <v>2427.7035000000001</v>
      </c>
      <c r="M134" s="17">
        <f>'Datos Actividad'!$O130*'FE Sectorial'!$H133*'FE Sectorial'!N133/1000/1000</f>
        <v>242.77035000000001</v>
      </c>
      <c r="N134" s="17">
        <f>'Datos Actividad'!$O130*'FE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2712788.7220049999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Actividad'!$O131*'FE Sectorial'!$H134*'FE Sectorial'!I134*'FE Sectorial'!P134/1000</f>
        <v>401122.09213541984</v>
      </c>
      <c r="I135" s="17">
        <f>'Datos Actividad'!$O131*'FE Sectorial'!$H134*'FE Sectorial'!J134/1000/1000</f>
        <v>6.4211383587926782</v>
      </c>
      <c r="J135" s="17">
        <f>'Datos Actividad'!$O131*'FE Sectorial'!$H134*'FE Sectorial'!K134/1000/1000</f>
        <v>0.64211383587926785</v>
      </c>
      <c r="K135" s="17">
        <f>'Datos Actividad'!$O131*'FE Sectorial'!$H134*'FE Sectorial'!L134/1000/1000</f>
        <v>963.17075381890174</v>
      </c>
      <c r="L135" s="17">
        <f>'Datos Actividad'!$O131*'FE Sectorial'!$H134*'FE Sectorial'!M134/1000/1000</f>
        <v>321.05691793963388</v>
      </c>
      <c r="M135" s="17">
        <f>'Datos Actividad'!$O131*'FE Sectorial'!$H134*'FE Sectorial'!N134/1000/1000</f>
        <v>32.105691793963395</v>
      </c>
      <c r="N135" s="17">
        <f>'Datos Actividad'!$O131*'FE Sectorial'!$H134*'FE Sectorial'!O134/1000/1000</f>
        <v>27.150690734852766</v>
      </c>
      <c r="O135" s="87">
        <f>IF(D135&lt;400,H135+I135*'Factores generales'!$M$41+J135*'Factores generales'!$N$41,I135*'Factores generales'!$M$41+J135*'Factores generales'!$N$41)</f>
        <v>401455.99133007706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Actividad'!$O132*'FE Sectorial'!$H135*'FE Sectorial'!I135*'FE Sectorial'!P135/1000</f>
        <v>216083.32936377948</v>
      </c>
      <c r="I136" s="17">
        <f>'Datos Actividad'!$O132*'FE Sectorial'!$H135*'FE Sectorial'!J135/1000/1000</f>
        <v>8.8366797269774473</v>
      </c>
      <c r="J136" s="17">
        <f>'Datos Actividad'!$O132*'FE Sectorial'!$H135*'FE Sectorial'!K135/1000/1000</f>
        <v>1.7673359453954895</v>
      </c>
      <c r="K136" s="17">
        <f>'Datos Actividad'!$O132*'FE Sectorial'!$H135*'FE Sectorial'!L135/1000/1000</f>
        <v>294.55599089924823</v>
      </c>
      <c r="L136" s="17">
        <f>'Datos Actividad'!$O132*'FE Sectorial'!$H135*'FE Sectorial'!M135/1000/1000</f>
        <v>58.911198179849649</v>
      </c>
      <c r="M136" s="17">
        <f>'Datos Actividad'!$O132*'FE Sectorial'!$H135*'FE Sectorial'!N135/1000/1000</f>
        <v>14.727799544962412</v>
      </c>
      <c r="N136" s="17">
        <f>'Datos Actividad'!$O132*'FE Sectorial'!$H135*'FE Sectorial'!O135/1000/1000</f>
        <v>106.86217344251796</v>
      </c>
      <c r="O136" s="87">
        <f>IF(D136&lt;400,H136+I136*'Factores generales'!$M$41+J136*'Factores generales'!$N$41,I136*'Factores generales'!$M$41+J136*'Factores generales'!$N$41)</f>
        <v>216816.77378111862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Actividad'!$O133*'FE Sectorial'!$H136*'FE Sectorial'!I136*'FE Sectorial'!P136/1000</f>
        <v>69310.258896211235</v>
      </c>
      <c r="I137" s="17">
        <f>'Datos Actividad'!$O133*'FE Sectorial'!$H136*'FE Sectorial'!J136/1000/1000</f>
        <v>2.71357994269091</v>
      </c>
      <c r="J137" s="17">
        <f>'Datos Actividad'!$O133*'FE Sectorial'!$H136*'FE Sectorial'!K136/1000/1000</f>
        <v>0.54271598853818204</v>
      </c>
      <c r="K137" s="17">
        <f>'Datos Actividad'!$O133*'FE Sectorial'!$H136*'FE Sectorial'!L136/1000/1000</f>
        <v>90.45266475636366</v>
      </c>
      <c r="L137" s="17">
        <f>'Datos Actividad'!$O133*'FE Sectorial'!$H136*'FE Sectorial'!M136/1000/1000</f>
        <v>18.090532951272731</v>
      </c>
      <c r="M137" s="17">
        <f>'Datos Actividad'!$O133*'FE Sectorial'!$H136*'FE Sectorial'!N136/1000/1000</f>
        <v>4.5226332378181828</v>
      </c>
      <c r="N137" s="17">
        <f>'Datos Actividad'!$O133*'FE Sectorial'!$H136*'FE Sectorial'!O136/1000/1000</f>
        <v>179.11418763636371</v>
      </c>
      <c r="O137" s="87">
        <f>IF(D137&lt;400,H137+I137*'Factores generales'!$M$41+J137*'Factores generales'!$N$41,I137*'Factores generales'!$M$41+J137*'Factores generales'!$N$41)</f>
        <v>69535.486031454595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16870056.469829507</v>
      </c>
      <c r="I138" s="134">
        <f>SUM(I139:I144)</f>
        <v>2486.711290760607</v>
      </c>
      <c r="J138" s="134">
        <f t="shared" ref="J138:O138" si="38">SUM(J139:J144)</f>
        <v>110.78390488790595</v>
      </c>
      <c r="K138" s="134">
        <f t="shared" si="38"/>
        <v>46154.150059933032</v>
      </c>
      <c r="L138" s="134">
        <f t="shared" si="38"/>
        <v>132063.24304939169</v>
      </c>
      <c r="M138" s="134">
        <f t="shared" si="38"/>
        <v>8648.0793667062208</v>
      </c>
      <c r="N138" s="134">
        <f t="shared" si="38"/>
        <v>2446.3184480624982</v>
      </c>
      <c r="O138" s="134">
        <f t="shared" si="38"/>
        <v>16956620.417450733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Actividad'!$O135*'FE Sectorial'!$H138*'FE Sectorial'!I138*'FE Sectorial'!P138/1000</f>
        <v>785294.38333657489</v>
      </c>
      <c r="I139" s="17">
        <f>'Datos Actividad'!$O135*'FE Sectorial'!$H138*'FE Sectorial'!J138/1000/1000</f>
        <v>241.7778273819504</v>
      </c>
      <c r="J139" s="17">
        <f>'Datos Actividad'!$O135*'FE Sectorial'!$H138*'FE Sectorial'!K138/1000/1000</f>
        <v>32.237043650926722</v>
      </c>
      <c r="K139" s="17">
        <f>'Datos Actividad'!$O135*'FE Sectorial'!$H138*'FE Sectorial'!L138/1000/1000</f>
        <v>805.92609127316803</v>
      </c>
      <c r="L139" s="17">
        <f>'Datos Actividad'!$O135*'FE Sectorial'!$H138*'FE Sectorial'!M138/1000/1000</f>
        <v>40296.304563658399</v>
      </c>
      <c r="M139" s="17">
        <f>'Datos Actividad'!$O135*'FE Sectorial'!$H138*'FE Sectorial'!N138/1000/1000</f>
        <v>4835.5565476390084</v>
      </c>
      <c r="N139" s="17">
        <f>'Datos Actividad'!$O135*'FE Sectorial'!$H138*'FE Sectorial'!O138/1000/1000</f>
        <v>2066.4771571106871</v>
      </c>
      <c r="O139" s="87">
        <f>IF(D139&lt;400,H139+I139*'Factores generales'!$M$41+J139*'Factores generales'!$N$41,I139*'Factores generales'!$M$41+J139*'Factores generales'!$N$41)</f>
        <v>15070.817906808243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Actividad'!$O136*'FE Sectorial'!$H139*'FE Sectorial'!I139*'FE Sectorial'!P139/1000</f>
        <v>202616.58278598863</v>
      </c>
      <c r="I140" s="17">
        <f>'Datos Actividad'!$O136*'FE Sectorial'!$H139*'FE Sectorial'!J139/1000/1000</f>
        <v>69.867787167582279</v>
      </c>
      <c r="J140" s="17">
        <f>'Datos Actividad'!$O136*'FE Sectorial'!$H139*'FE Sectorial'!K139/1000/1000</f>
        <v>9.3157049556776386</v>
      </c>
      <c r="K140" s="17">
        <f>'Datos Actividad'!$O136*'FE Sectorial'!$H139*'FE Sectorial'!L139/1000/1000</f>
        <v>232.89262389194096</v>
      </c>
      <c r="L140" s="17">
        <f>'Datos Actividad'!$O136*'FE Sectorial'!$H139*'FE Sectorial'!M139/1000/1000</f>
        <v>11644.631194597048</v>
      </c>
      <c r="M140" s="17">
        <f>'Datos Actividad'!$O136*'FE Sectorial'!$H139*'FE Sectorial'!N139/1000/1000</f>
        <v>1397.3557433516457</v>
      </c>
      <c r="N140" s="17">
        <f>'Datos Actividad'!$O136*'FE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4355.0920667792961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Actividad'!$O137*'FE Sectorial'!$H140*'FE Sectorial'!I140*'FE Sectorial'!P140/1000</f>
        <v>13926590.5671882</v>
      </c>
      <c r="I141" s="17">
        <f>'Datos Actividad'!$O137*'FE Sectorial'!$H140*'FE Sectorial'!J140/1000/1000</f>
        <v>249.49328759999997</v>
      </c>
      <c r="J141" s="17">
        <f>'Datos Actividad'!$O137*'FE Sectorial'!$H140*'FE Sectorial'!K140/1000/1000</f>
        <v>24.94932876</v>
      </c>
      <c r="K141" s="17">
        <f>'Datos Actividad'!$O137*'FE Sectorial'!$H140*'FE Sectorial'!L140/1000/1000</f>
        <v>37423.993139999999</v>
      </c>
      <c r="L141" s="17">
        <f>'Datos Actividad'!$O137*'FE Sectorial'!$H140*'FE Sectorial'!M140/1000/1000</f>
        <v>12474.66438</v>
      </c>
      <c r="M141" s="17">
        <f>'Datos Actividad'!$O137*'FE Sectorial'!$H140*'FE Sectorial'!N140/1000/1000</f>
        <v>1247.4664380000002</v>
      </c>
      <c r="N141" s="17">
        <f>'Datos Actividad'!$O137*'FE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13939564.218143398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Actividad'!$O138*'FE Sectorial'!$H141*'FE Sectorial'!I141*'FE Sectorial'!P141/1000</f>
        <v>2628273.3550684927</v>
      </c>
      <c r="I142" s="17">
        <f>'Datos Actividad'!$O138*'FE Sectorial'!$H141*'FE Sectorial'!J141/1000/1000</f>
        <v>42.073242009132414</v>
      </c>
      <c r="J142" s="17">
        <f>'Datos Actividad'!$O138*'FE Sectorial'!$H141*'FE Sectorial'!K141/1000/1000</f>
        <v>4.2073242009132414</v>
      </c>
      <c r="K142" s="17">
        <f>'Datos Actividad'!$O138*'FE Sectorial'!$H141*'FE Sectorial'!L141/1000/1000</f>
        <v>6310.9863013698623</v>
      </c>
      <c r="L142" s="17">
        <f>'Datos Actividad'!$O138*'FE Sectorial'!$H141*'FE Sectorial'!M141/1000/1000</f>
        <v>2103.6621004566205</v>
      </c>
      <c r="M142" s="17">
        <f>'Datos Actividad'!$O138*'FE Sectorial'!$H141*'FE Sectorial'!N141/1000/1000</f>
        <v>210.36621004566206</v>
      </c>
      <c r="N142" s="17">
        <f>'Datos Actividad'!$O138*'FE Sectorial'!$H141*'FE Sectorial'!O141/1000/1000</f>
        <v>177.89954337899545</v>
      </c>
      <c r="O142" s="87">
        <f>IF(D142&lt;400,H142+I142*'Factores generales'!$M$41+J142*'Factores generales'!$N$41,I142*'Factores generales'!$M$41+J142*'Factores generales'!$N$41)</f>
        <v>2630461.1636529677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Actividad'!$O139*'FE Sectorial'!$H142*'FE Sectorial'!I142*'FE Sectorial'!P142/1000</f>
        <v>315192.54757281556</v>
      </c>
      <c r="I143" s="17">
        <f>'Datos Actividad'!$O139*'FE Sectorial'!$H142*'FE Sectorial'!J142/1000/1000</f>
        <v>13.358446601941749</v>
      </c>
      <c r="J143" s="17">
        <f>'Datos Actividad'!$O139*'FE Sectorial'!$H142*'FE Sectorial'!K142/1000/1000</f>
        <v>2.6716893203883498</v>
      </c>
      <c r="K143" s="17">
        <f>'Datos Actividad'!$O139*'FE Sectorial'!$H142*'FE Sectorial'!L142/1000/1000</f>
        <v>445.28155339805829</v>
      </c>
      <c r="L143" s="17">
        <f>'Datos Actividad'!$O139*'FE Sectorial'!$H142*'FE Sectorial'!M142/1000/1000</f>
        <v>89.056310679611641</v>
      </c>
      <c r="M143" s="17">
        <f>'Datos Actividad'!$O139*'FE Sectorial'!$H142*'FE Sectorial'!N142/1000/1000</f>
        <v>22.26407766990291</v>
      </c>
      <c r="N143" s="17">
        <f>'Datos Actividad'!$O139*'FE Sectorial'!$H142*'FE Sectorial'!O142/1000/1000</f>
        <v>201.94174757281553</v>
      </c>
      <c r="O143" s="87">
        <f>IF(D143&lt;400,H143+I143*'Factores generales'!$M$41+J143*'Factores generales'!$N$41,I143*'Factores generales'!$M$41+J143*'Factores generales'!$N$41)</f>
        <v>316301.29864077672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Actividad'!$O140*'FE Sectorial'!$H143*'FE Sectorial'!I143*'FE Sectorial'!P143/1000</f>
        <v>911132.54903999995</v>
      </c>
      <c r="I144" s="17">
        <f>'Datos Actividad'!$O140*'FE Sectorial'!$H143*'FE Sectorial'!J143/1000/1000</f>
        <v>1870.1406999999999</v>
      </c>
      <c r="J144" s="17">
        <f>'Datos Actividad'!$O140*'FE Sectorial'!$H143*'FE Sectorial'!K143/1000/1000</f>
        <v>37.402813999999999</v>
      </c>
      <c r="K144" s="17">
        <f>'Datos Actividad'!$O140*'FE Sectorial'!$H143*'FE Sectorial'!L143/1000/1000</f>
        <v>935.07034999999996</v>
      </c>
      <c r="L144" s="17">
        <f>'Datos Actividad'!$O140*'FE Sectorial'!$H143*'FE Sectorial'!M143/1000/1000</f>
        <v>65454.924500000001</v>
      </c>
      <c r="M144" s="17">
        <f>'Datos Actividad'!$O140*'FE Sectorial'!$H143*'FE Sectorial'!N143/1000/1000</f>
        <v>935.07034999999996</v>
      </c>
      <c r="N144" s="17">
        <f>'Datos Actividad'!$O140*'FE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50867.827040000004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8377209.5803480037</v>
      </c>
      <c r="I145" s="134">
        <f t="shared" ref="I145:O145" si="39">SUM(I146:I149)</f>
        <v>342.5841238436185</v>
      </c>
      <c r="J145" s="134">
        <f t="shared" si="39"/>
        <v>68.516824768723723</v>
      </c>
      <c r="K145" s="134">
        <f t="shared" si="39"/>
        <v>137033.64953744743</v>
      </c>
      <c r="L145" s="134">
        <f t="shared" si="39"/>
        <v>114194.70794787284</v>
      </c>
      <c r="M145" s="134">
        <f t="shared" si="39"/>
        <v>22838.94158957457</v>
      </c>
      <c r="N145" s="134">
        <f t="shared" si="39"/>
        <v>4142.8777767135271</v>
      </c>
      <c r="O145" s="134">
        <f t="shared" si="39"/>
        <v>8405644.0626270231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Actividad'!$O142*'FE Sectorial'!$H145*'FE Sectorial'!I145*'FE Sectorial'!P145/1000</f>
        <v>0</v>
      </c>
      <c r="I146" s="17">
        <f>'Datos Actividad'!$O142*'FE Sectorial'!$H145*'FE Sectorial'!J145/1000/1000</f>
        <v>0</v>
      </c>
      <c r="J146" s="17">
        <f>'Datos Actividad'!$O142*'FE Sectorial'!$H145*'FE Sectorial'!K145/1000/1000</f>
        <v>0</v>
      </c>
      <c r="K146" s="17">
        <f>'Datos Actividad'!$O142*'FE Sectorial'!$H145*'FE Sectorial'!L145/1000/1000</f>
        <v>0</v>
      </c>
      <c r="L146" s="17">
        <f>'Datos Actividad'!$O142*'FE Sectorial'!$H145*'FE Sectorial'!M145/1000/1000</f>
        <v>0</v>
      </c>
      <c r="M146" s="17">
        <f>'Datos Actividad'!$O142*'FE Sectorial'!$H145*'FE Sectorial'!N145/1000/1000</f>
        <v>0</v>
      </c>
      <c r="N146" s="17">
        <f>'Datos Actividad'!$O142*'FE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Actividad'!$O143*'FE Sectorial'!$H146*'FE Sectorial'!I146*'FE Sectorial'!P146/1000</f>
        <v>0</v>
      </c>
      <c r="I147" s="17">
        <f>'Datos Actividad'!$O143*'FE Sectorial'!$H146*'FE Sectorial'!J146/1000/1000</f>
        <v>0</v>
      </c>
      <c r="J147" s="17">
        <f>'Datos Actividad'!$O143*'FE Sectorial'!$H146*'FE Sectorial'!K146/1000/1000</f>
        <v>0</v>
      </c>
      <c r="K147" s="17">
        <f>'Datos Actividad'!$O143*'FE Sectorial'!$H146*'FE Sectorial'!L146/1000/1000</f>
        <v>0</v>
      </c>
      <c r="L147" s="17">
        <f>'Datos Actividad'!$O143*'FE Sectorial'!$H146*'FE Sectorial'!M146/1000/1000</f>
        <v>0</v>
      </c>
      <c r="M147" s="17">
        <f>'Datos Actividad'!$O143*'FE Sectorial'!$H146*'FE Sectorial'!N146/1000/1000</f>
        <v>0</v>
      </c>
      <c r="N147" s="17">
        <f>'Datos Actividad'!$O143*'FE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Actividad'!$O144*'FE Sectorial'!$H147*'FE Sectorial'!I147*'FE Sectorial'!P147/1000</f>
        <v>8377209.5803480037</v>
      </c>
      <c r="I148" s="17">
        <f>'Datos Actividad'!$O144*'FE Sectorial'!$H147*'FE Sectorial'!J147/1000/1000</f>
        <v>342.5841238436185</v>
      </c>
      <c r="J148" s="17">
        <f>'Datos Actividad'!$O144*'FE Sectorial'!$H147*'FE Sectorial'!K147/1000/1000</f>
        <v>68.516824768723723</v>
      </c>
      <c r="K148" s="17">
        <f>'Datos Actividad'!$O144*'FE Sectorial'!$H147*'FE Sectorial'!L147/1000/1000</f>
        <v>137033.64953744743</v>
      </c>
      <c r="L148" s="17">
        <f>'Datos Actividad'!$O144*'FE Sectorial'!$H147*'FE Sectorial'!M147/1000/1000</f>
        <v>114194.70794787284</v>
      </c>
      <c r="M148" s="17">
        <f>'Datos Actividad'!$O144*'FE Sectorial'!$H147*'FE Sectorial'!N147/1000/1000</f>
        <v>22838.94158957457</v>
      </c>
      <c r="N148" s="17">
        <f>'Datos Actividad'!$O144*'FE Sectorial'!$H147*'FE Sectorial'!O147/1000/1000</f>
        <v>4142.8777767135271</v>
      </c>
      <c r="O148" s="87">
        <f>IF(D148&lt;400,H148+I148*'Factores generales'!$M$41+J148*'Factores generales'!$N$41,I148*'Factores generales'!$M$41+J148*'Factores generales'!$N$41)</f>
        <v>8405644.0626270231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Actividad'!$O145*'FE Sectorial'!$H148*'FE Sectorial'!I148*'FE Sectorial'!P148/1000</f>
        <v>0</v>
      </c>
      <c r="I149" s="17">
        <f>'Datos Actividad'!$O145*'FE Sectorial'!$H148*'FE Sectorial'!J148/1000/1000</f>
        <v>0</v>
      </c>
      <c r="J149" s="17">
        <f>'Datos Actividad'!$O145*'FE Sectorial'!$H148*'FE Sectorial'!K148/1000/1000</f>
        <v>0</v>
      </c>
      <c r="K149" s="17">
        <f>'Datos Actividad'!$O145*'FE Sectorial'!$H148*'FE Sectorial'!L148/1000/1000</f>
        <v>0</v>
      </c>
      <c r="L149" s="17">
        <f>'Datos Actividad'!$O145*'FE Sectorial'!$H148*'FE Sectorial'!M148/1000/1000</f>
        <v>0</v>
      </c>
      <c r="M149" s="17">
        <f>'Datos Actividad'!$O145*'FE Sectorial'!$H148*'FE Sectorial'!N148/1000/1000</f>
        <v>0</v>
      </c>
      <c r="N149" s="17">
        <f>'Datos Actividad'!$O145*'FE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Actividad'!$O147*'FE Sectorial'!$H150*'FE Sectorial'!I150*'FE Sectorial'!P150/1000</f>
        <v>0</v>
      </c>
      <c r="I151" s="134">
        <f>'Datos Actividad'!$O147*'FE Sectorial'!$H150*'FE Sectorial'!J150/1000/1000</f>
        <v>0</v>
      </c>
      <c r="J151" s="134">
        <f>'Datos Actividad'!$O147*'FE Sectorial'!$H150*'FE Sectorial'!K150/1000/1000</f>
        <v>0</v>
      </c>
      <c r="K151" s="134">
        <f>'Datos Actividad'!$O147*'FE Sectorial'!$H150*'FE Sectorial'!L150/1000/1000</f>
        <v>0</v>
      </c>
      <c r="L151" s="134">
        <f>'Datos Actividad'!$O147*'FE Sectorial'!$H150*'FE Sectorial'!M150/1000/1000</f>
        <v>0</v>
      </c>
      <c r="M151" s="134">
        <f>'Datos Actividad'!$O147*'FE Sectorial'!$H150*'FE Sectorial'!N150/1000/1000</f>
        <v>0</v>
      </c>
      <c r="N151" s="134">
        <f>'Datos Actividad'!$O147*'FE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Actividad'!$O148*'FE Sectorial'!$H151*'FE Sectorial'!I151*'FE Sectorial'!P151/1000</f>
        <v>0</v>
      </c>
      <c r="I152" s="134">
        <f>'Datos Actividad'!$O148*'FE Sectorial'!$H151*'FE Sectorial'!J151/1000/1000</f>
        <v>0</v>
      </c>
      <c r="J152" s="134">
        <f>'Datos Actividad'!$O148*'FE Sectorial'!$H151*'FE Sectorial'!K151/1000/1000</f>
        <v>0</v>
      </c>
      <c r="K152" s="134">
        <f>'Datos Actividad'!$O148*'FE Sectorial'!$H151*'FE Sectorial'!L151/1000/1000</f>
        <v>0</v>
      </c>
      <c r="L152" s="134">
        <f>'Datos Actividad'!$O148*'FE Sectorial'!$H151*'FE Sectorial'!M151/1000/1000</f>
        <v>0</v>
      </c>
      <c r="M152" s="134">
        <f>'Datos Actividad'!$O148*'FE Sectorial'!$H151*'FE Sectorial'!N151/1000/1000</f>
        <v>0</v>
      </c>
      <c r="N152" s="134">
        <f>'Datos Actividad'!$O148*'FE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5501793.9032001933</v>
      </c>
      <c r="I153" s="124">
        <f t="shared" ref="I153:N153" si="41">I154+I168</f>
        <v>352837.13167361013</v>
      </c>
      <c r="J153" s="124">
        <f t="shared" si="41"/>
        <v>35.75735349522153</v>
      </c>
      <c r="K153" s="124">
        <f t="shared" si="41"/>
        <v>1514.1197193286639</v>
      </c>
      <c r="L153" s="124">
        <f t="shared" si="41"/>
        <v>2422.5808668000004</v>
      </c>
      <c r="M153" s="124">
        <f t="shared" si="41"/>
        <v>116454.85216298142</v>
      </c>
      <c r="N153" s="124">
        <f t="shared" si="41"/>
        <v>24225.808668000001</v>
      </c>
      <c r="O153" s="124">
        <f>IF(D153&lt;400,H153+I153*'Factores generales'!$M$41+J153*'Factores generales'!$N$41,I153*'Factores generales'!$M$41+J153*'Factores generales'!$N$41)</f>
        <v>12922458.447929526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5501793.9032001933</v>
      </c>
      <c r="I168" s="129">
        <f t="shared" ref="I168:O168" si="44">I169+I188+I204</f>
        <v>350125.54029325105</v>
      </c>
      <c r="J168" s="129">
        <f t="shared" si="44"/>
        <v>35.75735349522153</v>
      </c>
      <c r="K168" s="129">
        <f t="shared" si="44"/>
        <v>1514.1197193286639</v>
      </c>
      <c r="L168" s="129">
        <f t="shared" si="44"/>
        <v>2422.5808668000004</v>
      </c>
      <c r="M168" s="129">
        <f t="shared" si="44"/>
        <v>116454.85216298142</v>
      </c>
      <c r="N168" s="129">
        <f t="shared" si="44"/>
        <v>24225.808668000001</v>
      </c>
      <c r="O168" s="129">
        <f t="shared" si="44"/>
        <v>12865515.028941981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42869.618139967104</v>
      </c>
      <c r="I169" s="134">
        <f t="shared" ref="I169:O169" si="45">SUM(I170:I187)</f>
        <v>14807.908026989087</v>
      </c>
      <c r="J169" s="134">
        <f t="shared" si="45"/>
        <v>0.29893100407953671</v>
      </c>
      <c r="K169" s="134">
        <f t="shared" si="45"/>
        <v>1514.1197193286639</v>
      </c>
      <c r="L169" s="134">
        <f t="shared" si="45"/>
        <v>2422.5808668000004</v>
      </c>
      <c r="M169" s="134">
        <f t="shared" si="45"/>
        <v>64702.277099022576</v>
      </c>
      <c r="N169" s="134">
        <f t="shared" si="45"/>
        <v>24225.808668000001</v>
      </c>
      <c r="O169" s="134">
        <f t="shared" si="45"/>
        <v>353928.35531800252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Actividad'!$O167*'FE Sectorial'!I170*1000</f>
        <v>631.76172037634979</v>
      </c>
      <c r="I171" s="92">
        <f>'Datos Actividad'!$O167*'FE Sectorial'!J170*1000</f>
        <v>13.415034918802704</v>
      </c>
      <c r="J171" s="92">
        <f>'Datos Actividad'!$O167*'FE Sectorial'!K170*1000</f>
        <v>4.6494300726002968E-3</v>
      </c>
      <c r="K171" s="92">
        <f>'Datos Actividad'!$O167*'FE Sectorial'!L170*1000</f>
        <v>0</v>
      </c>
      <c r="L171" s="92">
        <f>'Datos Actividad'!$O167*'FE Sectorial'!M170*1000</f>
        <v>0</v>
      </c>
      <c r="M171" s="92">
        <f>'Datos Actividad'!$O167*'FE Sectorial'!N170*1000</f>
        <v>2.0671154500230244</v>
      </c>
      <c r="N171" s="92">
        <f>'Datos Actividad'!$O167*'FE Sectorial'!O170*1000</f>
        <v>0</v>
      </c>
      <c r="O171" s="87">
        <f>IF(D171&lt;400,H171+I171*'Factores generales'!$M$41+J171*'Factores generales'!$N$41,I171*'Factores generales'!$M$41+J171*'Factores generales'!$N$41)</f>
        <v>914.91877699371264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Actividad'!$O168*'FE Sectorial'!I171*1000</f>
        <v>3939.2201388172402</v>
      </c>
      <c r="I172" s="92">
        <f>'Datos Actividad'!$O168*'FE Sectorial'!J171*1000</f>
        <v>83.64668831724039</v>
      </c>
      <c r="J172" s="92">
        <f>'Datos Actividad'!$O168*'FE Sectorial'!K171*1000</f>
        <v>2.8990563982095967E-2</v>
      </c>
      <c r="K172" s="92">
        <f>'Datos Actividad'!$O168*'FE Sectorial'!L171*1000</f>
        <v>0</v>
      </c>
      <c r="L172" s="92">
        <f>'Datos Actividad'!$O168*'FE Sectorial'!M171*1000</f>
        <v>0</v>
      </c>
      <c r="M172" s="92">
        <f>'Datos Actividad'!$O168*'FE Sectorial'!N171*1000</f>
        <v>12.889072806025917</v>
      </c>
      <c r="N172" s="92">
        <f>'Datos Actividad'!$O168*'FE Sectorial'!O171*1000</f>
        <v>0</v>
      </c>
      <c r="O172" s="87">
        <f>IF(D172&lt;400,H172+I172*'Factores generales'!$M$41+J172*'Factores generales'!$N$41,I172*'Factores generales'!$M$41+J172*'Factores generales'!$N$41)</f>
        <v>5704.7876683137383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Actividad'!$O169*'FE Sectorial'!I172*1000</f>
        <v>36047.580515591726</v>
      </c>
      <c r="I173" s="92">
        <f>'Datos Actividad'!$O169*'FE Sectorial'!J172*1000</f>
        <v>765.44611007286017</v>
      </c>
      <c r="J173" s="92">
        <f>'Datos Actividad'!$O169*'FE Sectorial'!K172*1000</f>
        <v>0.26529101002484046</v>
      </c>
      <c r="K173" s="92">
        <f>'Datos Actividad'!$O169*'FE Sectorial'!L172*1000</f>
        <v>0</v>
      </c>
      <c r="L173" s="92">
        <f>'Datos Actividad'!$O169*'FE Sectorial'!M172*1000</f>
        <v>0</v>
      </c>
      <c r="M173" s="92">
        <f>'Datos Actividad'!$O169*'FE Sectorial'!N172*1000</f>
        <v>117.94717567778434</v>
      </c>
      <c r="N173" s="92">
        <f>'Datos Actividad'!$O169*'FE Sectorial'!O172*1000</f>
        <v>0</v>
      </c>
      <c r="O173" s="87">
        <f>IF(D173&lt;400,H173+I173*'Factores generales'!$M$41+J173*'Factores generales'!$N$41,I173*'Factores generales'!$M$41+J173*'Factores generales'!$N$41)</f>
        <v>52204.189040229488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Actividad'!$O171*'FE Sectorial'!I174</f>
        <v>934.25421088540838</v>
      </c>
      <c r="I175" s="92">
        <f>'Datos Actividad'!$O171*'FE Sectorial'!J174</f>
        <v>12887.116314894358</v>
      </c>
      <c r="J175" s="92">
        <f>'Datos Actividad'!$O171*'FE Sectorial'!K174</f>
        <v>0</v>
      </c>
      <c r="K175" s="92">
        <f>'Datos Actividad'!$O171*'FE Sectorial'!L174</f>
        <v>0</v>
      </c>
      <c r="L175" s="92">
        <f>'Datos Actividad'!$O171*'FE Sectorial'!M174</f>
        <v>0</v>
      </c>
      <c r="M175" s="92">
        <f>'Datos Actividad'!$O171*'FE Sectorial'!N174</f>
        <v>15783.429613693741</v>
      </c>
      <c r="N175" s="92">
        <f>'Datos Actividad'!$O171*'FE Sectorial'!O174</f>
        <v>0</v>
      </c>
      <c r="O175" s="87">
        <f>IF(D175&lt;400,H175+I175*'Factores generales'!$M$41+J175*'Factores generales'!$N$41,I175*'Factores generales'!$M$41+J175*'Factores generales'!$N$41)</f>
        <v>271563.69682366692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Actividad'!$O173*'FE Sectorial'!I176</f>
        <v>0</v>
      </c>
      <c r="I177" s="92">
        <f>'Datos Actividad'!$O173*'FE Sectorial'!J176</f>
        <v>535.61995962044398</v>
      </c>
      <c r="J177" s="92">
        <f>'Datos Actividad'!$O173*'FE Sectorial'!K176</f>
        <v>0</v>
      </c>
      <c r="K177" s="92">
        <f>'Datos Actividad'!$O173*'FE Sectorial'!L176</f>
        <v>0</v>
      </c>
      <c r="L177" s="92">
        <f>'Datos Actividad'!$O173*'FE Sectorial'!M176</f>
        <v>0</v>
      </c>
      <c r="M177" s="92">
        <f>'Datos Actividad'!$O173*'FE Sectorial'!N176</f>
        <v>0</v>
      </c>
      <c r="N177" s="92">
        <f>'Datos Actividad'!$O173*'FE Sectorial'!O176</f>
        <v>0</v>
      </c>
      <c r="O177" s="87">
        <f>IF(D177&lt;400,H177+I177*'Factores generales'!$M$41+J177*'Factores generales'!$N$41,I177*'Factores generales'!$M$41+J177*'Factores generales'!$N$41)</f>
        <v>11248.019152029323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Actividad'!$O174*'FE Sectorial'!I177</f>
        <v>11.638451824500784</v>
      </c>
      <c r="I178" s="92">
        <f>'Datos Actividad'!$O174*'FE Sectorial'!J177</f>
        <v>128.26048949449844</v>
      </c>
      <c r="J178" s="92">
        <f>'Datos Actividad'!$O174*'FE Sectorial'!K177</f>
        <v>0</v>
      </c>
      <c r="K178" s="92">
        <f>'Datos Actividad'!$O174*'FE Sectorial'!L177</f>
        <v>0</v>
      </c>
      <c r="L178" s="92">
        <f>'Datos Actividad'!$O174*'FE Sectorial'!M177</f>
        <v>0</v>
      </c>
      <c r="M178" s="92">
        <f>'Datos Actividad'!$O174*'FE Sectorial'!N177</f>
        <v>1282.6048949449846</v>
      </c>
      <c r="N178" s="92">
        <f>'Datos Actividad'!$O174*'FE Sectorial'!O177</f>
        <v>0</v>
      </c>
      <c r="O178" s="87">
        <f>IF(D178&lt;400,H178+I178*'Factores generales'!$M$41+J178*'Factores generales'!$N$41,I178*'Factores generales'!$M$41+J178*'Factores generales'!$N$41)</f>
        <v>2705.108731208968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Actividad'!$O177*'FE Sectorial'!I180</f>
        <v>0</v>
      </c>
      <c r="I181" s="92">
        <f>'Datos Actividad'!$O177*'FE Sectorial'!J180</f>
        <v>312.65609421269676</v>
      </c>
      <c r="J181" s="92">
        <f>'Datos Actividad'!$O177*'FE Sectorial'!K180</f>
        <v>0</v>
      </c>
      <c r="K181" s="92">
        <f>'Datos Actividad'!$O177*'FE Sectorial'!L180</f>
        <v>1514.1130417500001</v>
      </c>
      <c r="L181" s="92">
        <f>'Datos Actividad'!$O177*'FE Sectorial'!M180</f>
        <v>2422.5808668000004</v>
      </c>
      <c r="M181" s="92">
        <f>'Datos Actividad'!$O177*'FE Sectorial'!N180</f>
        <v>39366.939085500002</v>
      </c>
      <c r="N181" s="92">
        <f>'Datos Actividad'!$O177*'FE Sectorial'!O180</f>
        <v>24225.808668000001</v>
      </c>
      <c r="O181" s="87">
        <f>IF(D181&lt;400,H181+I181*'Factores generales'!$M$41+J181*'Factores generales'!$N$41,I181*'Factores generales'!$M$41+J181*'Factores generales'!$N$41)</f>
        <v>6565.7779784666318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Actividad'!$O179*'FE Sectorial'!I182</f>
        <v>0</v>
      </c>
      <c r="I183" s="92">
        <f>'Datos Actividad'!$O179*'FE Sectorial'!J182</f>
        <v>81.747335458186541</v>
      </c>
      <c r="J183" s="92">
        <f>'Datos Actividad'!$O179*'FE Sectorial'!K182</f>
        <v>0</v>
      </c>
      <c r="K183" s="92">
        <f>'Datos Actividad'!$O179*'FE Sectorial'!L182</f>
        <v>0</v>
      </c>
      <c r="L183" s="92">
        <f>'Datos Actividad'!$O179*'FE Sectorial'!M182</f>
        <v>0</v>
      </c>
      <c r="M183" s="92">
        <f>'Datos Actividad'!$O179*'FE Sectorial'!N182</f>
        <v>0</v>
      </c>
      <c r="N183" s="92">
        <f>'Datos Actividad'!$O179*'FE Sectorial'!O182</f>
        <v>0</v>
      </c>
      <c r="O183" s="87">
        <f>IF(D183&lt;400,H183+I183*'Factores generales'!$M$41+J183*'Factores generales'!$N$41,I183*'Factores generales'!$M$41+J183*'Factores generales'!$N$41)</f>
        <v>1716.6940446219173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Actividad'!$O181*'FE Sectorial'!I184</f>
        <v>0</v>
      </c>
      <c r="I185" s="92">
        <f>'Datos Actividad'!$O181*'FE Sectorial'!J184</f>
        <v>0</v>
      </c>
      <c r="J185" s="92">
        <f>'Datos Actividad'!$O181*'FE Sectorial'!K184</f>
        <v>0</v>
      </c>
      <c r="K185" s="92">
        <f>'Datos Actividad'!$O181*'FE Sectorial'!L184</f>
        <v>0</v>
      </c>
      <c r="L185" s="92">
        <f>'Datos Actividad'!$O181*'FE Sectorial'!M184</f>
        <v>0</v>
      </c>
      <c r="M185" s="92">
        <f>'Datos Actividad'!$O181*'FE Sectorial'!N184</f>
        <v>8136.4001409500115</v>
      </c>
      <c r="N185" s="92">
        <f>'Datos Actividad'!$O181*'FE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Actividad'!$O182*'FE Sectorial'!I185</f>
        <v>1305.1631024718756</v>
      </c>
      <c r="I186" s="92">
        <f>'Datos Actividad'!$O182*'FE Sectorial'!J185</f>
        <v>0</v>
      </c>
      <c r="J186" s="92">
        <f>'Datos Actividad'!$O182*'FE Sectorial'!K185</f>
        <v>0</v>
      </c>
      <c r="K186" s="92">
        <f>'Datos Actividad'!$O182*'FE Sectorial'!L185</f>
        <v>6.6775786638095967E-3</v>
      </c>
      <c r="L186" s="92">
        <f>'Datos Actividad'!$O182*'FE Sectorial'!M185</f>
        <v>0</v>
      </c>
      <c r="M186" s="92">
        <f>'Datos Actividad'!$O182*'FE Sectorial'!N185</f>
        <v>0</v>
      </c>
      <c r="N186" s="92">
        <f>'Datos Actividad'!$O182*'FE Sectorial'!O185</f>
        <v>0</v>
      </c>
      <c r="O186" s="87">
        <f>IF(D186&lt;400,H186+I186*'Factores generales'!$M$41+J186*'Factores generales'!$N$41,I186*'Factores generales'!$M$41+J186*'Factores generales'!$N$41)</f>
        <v>1305.1631024718756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5709.2711537846908</v>
      </c>
      <c r="I188" s="134">
        <f t="shared" ref="I188:O188" si="46">SUM(I189:I203)</f>
        <v>290811.16277867713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28654.112947103247</v>
      </c>
      <c r="N188" s="134">
        <f t="shared" si="46"/>
        <v>0</v>
      </c>
      <c r="O188" s="134">
        <f t="shared" si="46"/>
        <v>6112743.6895060027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Actividad'!$O187*'FE Sectorial'!I190</f>
        <v>2557.5563115606533</v>
      </c>
      <c r="I191" s="92">
        <f>'Datos Actividad'!$O187*'FE Sectorial'!J190</f>
        <v>153858.8044429796</v>
      </c>
      <c r="J191" s="92">
        <f>'Datos Actividad'!$O187*'FE Sectorial'!K190</f>
        <v>0</v>
      </c>
      <c r="K191" s="92">
        <f>'Datos Actividad'!$O187*'FE Sectorial'!L190</f>
        <v>0</v>
      </c>
      <c r="L191" s="92">
        <f>'Datos Actividad'!$O187*'FE Sectorial'!M190</f>
        <v>0</v>
      </c>
      <c r="M191" s="92">
        <f>'Datos Actividad'!$O187*'FE Sectorial'!N190</f>
        <v>16835.896741630022</v>
      </c>
      <c r="N191" s="92">
        <f>'Datos Actividad'!$O187*'FE Sectorial'!O190</f>
        <v>0</v>
      </c>
      <c r="O191" s="87">
        <f>IF(D191&lt;400,H191+I191*'Factores generales'!$M$41+J191*'Factores generales'!$N$41,I191*'Factores generales'!$M$41+J191*'Factores generales'!$N$41)</f>
        <v>3233592.4496141323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Actividad'!$O189*'FE Sectorial'!I192</f>
        <v>933.88752262098694</v>
      </c>
      <c r="I193" s="92">
        <f>'Datos Actividad'!$O189*'FE Sectorial'!J192</f>
        <v>11673.594032762339</v>
      </c>
      <c r="J193" s="92">
        <f>'Datos Actividad'!$O189*'FE Sectorial'!K192</f>
        <v>0</v>
      </c>
      <c r="K193" s="92">
        <f>'Datos Actividad'!$O189*'FE Sectorial'!L192</f>
        <v>0</v>
      </c>
      <c r="L193" s="92">
        <f>'Datos Actividad'!$O189*'FE Sectorial'!M192</f>
        <v>0</v>
      </c>
      <c r="M193" s="92">
        <f>'Datos Actividad'!$O189*'FE Sectorial'!N192</f>
        <v>10783.604251561192</v>
      </c>
      <c r="N193" s="92">
        <f>'Datos Actividad'!$O189*'FE Sectorial'!O192</f>
        <v>0</v>
      </c>
      <c r="O193" s="87">
        <f>IF(D193&lt;400,H193+I193*'Factores generales'!$M$41+J193*'Factores generales'!$N$41,I193*'Factores generales'!$M$41+J193*'Factores generales'!$N$41)</f>
        <v>246079.36221063012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Actividad'!$O192*'FE Sectorial'!I195</f>
        <v>56.546126827740913</v>
      </c>
      <c r="I196" s="92">
        <f>'Datos Actividad'!$O192*'FE Sectorial'!J195</f>
        <v>17593.900811882686</v>
      </c>
      <c r="J196" s="92">
        <f>'Datos Actividad'!$O192*'FE Sectorial'!K195</f>
        <v>0</v>
      </c>
      <c r="K196" s="92">
        <f>'Datos Actividad'!$O192*'FE Sectorial'!L195</f>
        <v>0</v>
      </c>
      <c r="L196" s="92">
        <f>'Datos Actividad'!$O192*'FE Sectorial'!M195</f>
        <v>0</v>
      </c>
      <c r="M196" s="92">
        <f>'Datos Actividad'!$O192*'FE Sectorial'!N195</f>
        <v>420.74619391203396</v>
      </c>
      <c r="N196" s="92">
        <f>'Datos Actividad'!$O192*'FE Sectorial'!O195</f>
        <v>0</v>
      </c>
      <c r="O196" s="87">
        <f>IF(D196&lt;400,H196+I196*'Factores generales'!$M$41+J196*'Factores generales'!$N$41,I196*'Factores generales'!$M$41+J196*'Factores generales'!$N$41)</f>
        <v>369528.46317636414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Actividad'!$O194*'FE Sectorial'!I197</f>
        <v>2161.2811927753096</v>
      </c>
      <c r="I198" s="92">
        <f>'Datos Actividad'!$O194*'FE Sectorial'!J197</f>
        <v>42415.883282632465</v>
      </c>
      <c r="J198" s="92">
        <f>'Datos Actividad'!$O194*'FE Sectorial'!K197</f>
        <v>0</v>
      </c>
      <c r="K198" s="92">
        <f>'Datos Actividad'!$O194*'FE Sectorial'!L197</f>
        <v>0</v>
      </c>
      <c r="L198" s="92">
        <f>'Datos Actividad'!$O194*'FE Sectorial'!M197</f>
        <v>0</v>
      </c>
      <c r="M198" s="92">
        <f>'Datos Actividad'!$O194*'FE Sectorial'!N197</f>
        <v>613.86576000000014</v>
      </c>
      <c r="N198" s="92">
        <f>'Datos Actividad'!$O194*'FE Sectorial'!O197</f>
        <v>0</v>
      </c>
      <c r="O198" s="87">
        <f>IF(D198&lt;400,H198+I198*'Factores generales'!$M$41+J198*'Factores generales'!$N$41,I198*'Factores generales'!$M$41+J198*'Factores generales'!$N$41)</f>
        <v>892894.83012805716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Actividad'!$O197*'FE Sectorial'!I200</f>
        <v>0</v>
      </c>
      <c r="I201" s="92">
        <f>'Datos Actividad'!$O197*'FE Sectorial'!J200</f>
        <v>52303.920152819992</v>
      </c>
      <c r="J201" s="92">
        <f>'Datos Actividad'!$O197*'FE Sectorial'!K200</f>
        <v>0</v>
      </c>
      <c r="K201" s="92">
        <f>'Datos Actividad'!$O197*'FE Sectorial'!L200</f>
        <v>0</v>
      </c>
      <c r="L201" s="92">
        <f>'Datos Actividad'!$O197*'FE Sectorial'!M200</f>
        <v>0</v>
      </c>
      <c r="M201" s="92">
        <f>'Datos Actividad'!$O197*'FE Sectorial'!N200</f>
        <v>0</v>
      </c>
      <c r="N201" s="92">
        <f>'Datos Actividad'!$O197*'FE Sectorial'!O200</f>
        <v>0</v>
      </c>
      <c r="O201" s="87">
        <f>IF(D201&lt;400,H201+I201*'Factores generales'!$M$41+J201*'Factores generales'!$N$41,I201*'Factores generales'!$M$41+J201*'Factores generales'!$N$41)</f>
        <v>1098382.3232092198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Actividad'!$O199*'FE Sectorial'!I202</f>
        <v>0</v>
      </c>
      <c r="I203" s="92">
        <f>'Datos Actividad'!$O199*'FE Sectorial'!J202</f>
        <v>12965.060055599999</v>
      </c>
      <c r="J203" s="92">
        <f>'Datos Actividad'!$O199*'FE Sectorial'!K202</f>
        <v>0</v>
      </c>
      <c r="K203" s="92">
        <f>'Datos Actividad'!$O199*'FE Sectorial'!L202</f>
        <v>0</v>
      </c>
      <c r="L203" s="92">
        <f>'Datos Actividad'!$O199*'FE Sectorial'!M202</f>
        <v>0</v>
      </c>
      <c r="M203" s="92">
        <f>'Datos Actividad'!$O199*'FE Sectorial'!N202</f>
        <v>0</v>
      </c>
      <c r="N203" s="92">
        <f>'Datos Actividad'!$O199*'FE Sectorial'!O202</f>
        <v>0</v>
      </c>
      <c r="O203" s="87">
        <f>IF(D203&lt;400,H203+I203*'Factores generales'!$M$41+J203*'Factores generales'!$N$41,I203*'Factores generales'!$M$41+J203*'Factores generales'!$N$41)</f>
        <v>272266.26116759999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5453215.0139064416</v>
      </c>
      <c r="I204" s="134">
        <f t="shared" ref="I204:O204" si="47">SUM(I205:I221)</f>
        <v>44506.469487584807</v>
      </c>
      <c r="J204" s="134">
        <f t="shared" si="47"/>
        <v>35.458422491141995</v>
      </c>
      <c r="K204" s="134">
        <f t="shared" si="47"/>
        <v>0</v>
      </c>
      <c r="L204" s="134">
        <f t="shared" si="47"/>
        <v>0</v>
      </c>
      <c r="M204" s="134">
        <f t="shared" si="47"/>
        <v>23098.462116855593</v>
      </c>
      <c r="N204" s="134">
        <f t="shared" si="47"/>
        <v>0</v>
      </c>
      <c r="O204" s="134">
        <f t="shared" si="47"/>
        <v>6398842.9841179755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Actividad'!$O203*'FE Sectorial'!I206</f>
        <v>4773.8412455370462</v>
      </c>
      <c r="I207" s="92">
        <f>'Datos Actividad'!$O203*'FE Sectorial'!J206</f>
        <v>36267.560077234884</v>
      </c>
      <c r="J207" s="92">
        <f>'Datos Actividad'!$O203*'FE Sectorial'!K206</f>
        <v>0</v>
      </c>
      <c r="K207" s="92">
        <f>'Datos Actividad'!$O203*'FE Sectorial'!L206</f>
        <v>0</v>
      </c>
      <c r="L207" s="92">
        <f>'Datos Actividad'!$O203*'FE Sectorial'!M206</f>
        <v>0</v>
      </c>
      <c r="M207" s="92">
        <f>'Datos Actividad'!$O203*'FE Sectorial'!N206</f>
        <v>21636.884522598717</v>
      </c>
      <c r="N207" s="92">
        <f>'Datos Actividad'!$O203*'FE Sectorial'!O206</f>
        <v>0</v>
      </c>
      <c r="O207" s="87">
        <f>IF(D207&lt;400,H207+I207*'Factores generales'!$M$41+J207*'Factores generales'!$N$41,I207*'Factores generales'!$M$41+J207*'Factores generales'!$N$41)</f>
        <v>766392.60286746966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Actividad'!$O205*'FE Sectorial'!I208</f>
        <v>2058355.7430188004</v>
      </c>
      <c r="I209" s="92">
        <f>'Datos Actividad'!$O205*'FE Sectorial'!J208</f>
        <v>1252.4025882570843</v>
      </c>
      <c r="J209" s="92">
        <f>'Datos Actividad'!$O205*'FE Sectorial'!K208</f>
        <v>32.237831179764342</v>
      </c>
      <c r="K209" s="92">
        <f>'Datos Actividad'!$O205*'FE Sectorial'!L208</f>
        <v>0</v>
      </c>
      <c r="L209" s="92">
        <f>'Datos Actividad'!$O205*'FE Sectorial'!M208</f>
        <v>0</v>
      </c>
      <c r="M209" s="92">
        <f>'Datos Actividad'!$O205*'FE Sectorial'!N208</f>
        <v>1060.0909816844987</v>
      </c>
      <c r="N209" s="92">
        <f>'Datos Actividad'!$O205*'FE Sectorial'!O208</f>
        <v>0</v>
      </c>
      <c r="O209" s="87">
        <f>IF(D209&lt;400,H209+I209*'Factores generales'!$M$41+J209*'Factores generales'!$N$41,I209*'Factores generales'!$M$41+J209*'Factores generales'!$N$41)</f>
        <v>2094649.9250379263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Actividad'!$O209*'FE Sectorial'!I212</f>
        <v>3140629.6943330113</v>
      </c>
      <c r="I213" s="92">
        <f>'Datos Actividad'!$O209*'FE Sectorial'!J212</f>
        <v>0</v>
      </c>
      <c r="J213" s="92">
        <f>'Datos Actividad'!$O209*'FE Sectorial'!K212</f>
        <v>0</v>
      </c>
      <c r="K213" s="92">
        <f>'Datos Actividad'!$O209*'FE Sectorial'!L212</f>
        <v>0</v>
      </c>
      <c r="L213" s="92">
        <f>'Datos Actividad'!$O209*'FE Sectorial'!M212</f>
        <v>0</v>
      </c>
      <c r="M213" s="92">
        <f>'Datos Actividad'!$O209*'FE Sectorial'!N212</f>
        <v>0</v>
      </c>
      <c r="N213" s="92">
        <f>'Datos Actividad'!$O209*'FE Sectorial'!O212</f>
        <v>0</v>
      </c>
      <c r="O213" s="87">
        <f>IF(D213&lt;400,H213+I213*'Factores generales'!$M$41+J213*'Factores generales'!$N$41,I213*'Factores generales'!$M$41+J213*'Factores generales'!$N$41)</f>
        <v>3140629.6943330113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Actividad'!$O211*'FE Sectorial'!I214</f>
        <v>179.83809655038777</v>
      </c>
      <c r="I215" s="92">
        <f>'Datos Actividad'!$O211*'FE Sectorial'!J214</f>
        <v>6821.5272502669222</v>
      </c>
      <c r="J215" s="92">
        <f>'Datos Actividad'!$O211*'FE Sectorial'!K214</f>
        <v>0</v>
      </c>
      <c r="K215" s="92">
        <f>'Datos Actividad'!$O211*'FE Sectorial'!L214</f>
        <v>0</v>
      </c>
      <c r="L215" s="92">
        <f>'Datos Actividad'!$O211*'FE Sectorial'!M214</f>
        <v>0</v>
      </c>
      <c r="M215" s="92">
        <f>'Datos Actividad'!$O211*'FE Sectorial'!N214</f>
        <v>268.91478387504077</v>
      </c>
      <c r="N215" s="92">
        <f>'Datos Actividad'!$O211*'FE Sectorial'!O214</f>
        <v>0</v>
      </c>
      <c r="O215" s="87">
        <f>IF(D215&lt;400,H215+I215*'Factores generales'!$M$41+J215*'Factores generales'!$N$41,I215*'Factores generales'!$M$41+J215*'Factores generales'!$N$41)</f>
        <v>143431.91035215574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Actividad'!$O214*'FE Sectorial'!I217</f>
        <v>70595.261067466825</v>
      </c>
      <c r="I218" s="92">
        <f>'Datos Actividad'!$O214*'FE Sectorial'!J217</f>
        <v>44.415211081174128</v>
      </c>
      <c r="J218" s="92">
        <f>'Datos Actividad'!$O214*'FE Sectorial'!K217</f>
        <v>1.2572845551601419</v>
      </c>
      <c r="K218" s="92">
        <f>'Datos Actividad'!$O214*'FE Sectorial'!L217</f>
        <v>0</v>
      </c>
      <c r="L218" s="92">
        <f>'Datos Actividad'!$O214*'FE Sectorial'!M217</f>
        <v>0</v>
      </c>
      <c r="M218" s="92">
        <f>'Datos Actividad'!$O214*'FE Sectorial'!N217</f>
        <v>36.985393347773268</v>
      </c>
      <c r="N218" s="92">
        <f>'Datos Actividad'!$O214*'FE Sectorial'!O217</f>
        <v>0</v>
      </c>
      <c r="O218" s="87">
        <f>IF(D218&lt;400,H218+I218*'Factores generales'!$M$41+J218*'Factores generales'!$N$41,I218*'Factores generales'!$M$41+J218*'Factores generales'!$N$41)</f>
        <v>71917.738712271122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Actividad'!$O216*'FE Sectorial'!I219</f>
        <v>178680.63614507506</v>
      </c>
      <c r="I220" s="92">
        <f>'Datos Actividad'!$O216*'FE Sectorial'!J219</f>
        <v>120.56436074473282</v>
      </c>
      <c r="J220" s="92">
        <f>'Datos Actividad'!$O216*'FE Sectorial'!K219</f>
        <v>1.9633067562175155</v>
      </c>
      <c r="K220" s="92">
        <f>'Datos Actividad'!$O216*'FE Sectorial'!L219</f>
        <v>0</v>
      </c>
      <c r="L220" s="92">
        <f>'Datos Actividad'!$O216*'FE Sectorial'!M219</f>
        <v>0</v>
      </c>
      <c r="M220" s="92">
        <f>'Datos Actividad'!$O216*'FE Sectorial'!N219</f>
        <v>95.58643534956704</v>
      </c>
      <c r="N220" s="92">
        <f>'Datos Actividad'!$O216*'FE Sectorial'!O219</f>
        <v>0</v>
      </c>
      <c r="O220" s="87">
        <f>IF(D220&lt;400,H220+I220*'Factores generales'!$M$41+J220*'Factores generales'!$N$41,I220*'Factores generales'!$M$41+J220*'Factores generales'!$N$41)</f>
        <v>181821.11281514188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9856023.9506119452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3643110.2315913336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1913141.3718480335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1729968.8597432999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112597049.61893123</v>
      </c>
      <c r="I5" s="138">
        <f t="shared" si="0"/>
        <v>341651.07075618382</v>
      </c>
      <c r="J5" s="138">
        <f t="shared" si="0"/>
        <v>2969.8042032176008</v>
      </c>
      <c r="K5" s="138">
        <f t="shared" si="0"/>
        <v>634689.69506571139</v>
      </c>
      <c r="L5" s="138">
        <f t="shared" si="0"/>
        <v>1865511.9658563389</v>
      </c>
      <c r="M5" s="138">
        <f t="shared" si="0"/>
        <v>396838.36260265519</v>
      </c>
      <c r="N5" s="138">
        <f t="shared" si="0"/>
        <v>51869.499557953226</v>
      </c>
      <c r="O5" s="138">
        <f t="shared" si="0"/>
        <v>120692361.40780854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107352575.2556244</v>
      </c>
      <c r="I6" s="124">
        <f t="shared" si="1"/>
        <v>16815.825862936468</v>
      </c>
      <c r="J6" s="124">
        <f t="shared" si="1"/>
        <v>2933.6210915859642</v>
      </c>
      <c r="K6" s="124">
        <f t="shared" si="1"/>
        <v>633238.30395824567</v>
      </c>
      <c r="L6" s="124">
        <f t="shared" si="1"/>
        <v>1863189.7485075388</v>
      </c>
      <c r="M6" s="124">
        <f t="shared" si="1"/>
        <v>281283.25080650434</v>
      </c>
      <c r="N6" s="124">
        <f t="shared" si="1"/>
        <v>28647.326069953222</v>
      </c>
      <c r="O6" s="124">
        <f t="shared" si="1"/>
        <v>108615130.13713771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27950390.253628291</v>
      </c>
      <c r="I7" s="129">
        <f t="shared" si="2"/>
        <v>528.99068985844838</v>
      </c>
      <c r="J7" s="129">
        <f t="shared" si="2"/>
        <v>67.072783942981388</v>
      </c>
      <c r="K7" s="129">
        <f t="shared" si="2"/>
        <v>75190.050525539438</v>
      </c>
      <c r="L7" s="129">
        <f t="shared" si="2"/>
        <v>9674.3418680195391</v>
      </c>
      <c r="M7" s="129">
        <f t="shared" si="2"/>
        <v>2443.7374650368129</v>
      </c>
      <c r="N7" s="129">
        <f t="shared" si="2"/>
        <v>5062.402200399054</v>
      </c>
      <c r="O7" s="129">
        <f t="shared" si="2"/>
        <v>27982291.621137641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15943791.142429128</v>
      </c>
      <c r="I8" s="134">
        <f t="shared" si="3"/>
        <v>292.33597910399999</v>
      </c>
      <c r="J8" s="134">
        <f t="shared" si="3"/>
        <v>32.981490470399997</v>
      </c>
      <c r="K8" s="134">
        <f t="shared" si="3"/>
        <v>42929.020525599997</v>
      </c>
      <c r="L8" s="134">
        <f t="shared" si="3"/>
        <v>5635.7196220800006</v>
      </c>
      <c r="M8" s="134">
        <f t="shared" si="3"/>
        <v>1414.79101552</v>
      </c>
      <c r="N8" s="134">
        <f t="shared" si="3"/>
        <v>2032.3227600000005</v>
      </c>
      <c r="O8" s="134">
        <f t="shared" si="3"/>
        <v>15960154.460036138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15943791.142429128</v>
      </c>
      <c r="I9" s="93">
        <f t="shared" ref="I9:O9" si="4">I10+I11+I12+I13+I14</f>
        <v>292.33597910399999</v>
      </c>
      <c r="J9" s="93">
        <f t="shared" si="4"/>
        <v>32.981490470399997</v>
      </c>
      <c r="K9" s="93">
        <f t="shared" si="4"/>
        <v>42929.020525599997</v>
      </c>
      <c r="L9" s="93">
        <f t="shared" si="4"/>
        <v>5635.7196220800006</v>
      </c>
      <c r="M9" s="93">
        <f t="shared" si="4"/>
        <v>1414.79101552</v>
      </c>
      <c r="N9" s="93">
        <f t="shared" si="4"/>
        <v>2032.3227600000005</v>
      </c>
      <c r="O9" s="93">
        <f t="shared" si="4"/>
        <v>15960154.460036138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Actividad'!$P6*'FE Sectorial'!$H9*'FE Sectorial'!I9*'FE Sectorial'!$P9/1000</f>
        <v>155035.9963152</v>
      </c>
      <c r="I10" s="92">
        <f>'Datos Actividad'!$P6*'FE Sectorial'!$H9*'FE Sectorial'!J9/1000/1000</f>
        <v>1.6723044000000002</v>
      </c>
      <c r="J10" s="92">
        <f>'Datos Actividad'!$P6*'FE Sectorial'!$H9*'FE Sectorial'!K9/1000/1000</f>
        <v>2.5084566000000006</v>
      </c>
      <c r="K10" s="92">
        <f>'Datos Actividad'!$P6*'FE Sectorial'!$H9*'FE Sectorial'!L9/1000/1000</f>
        <v>501.69132000000008</v>
      </c>
      <c r="L10" s="92">
        <f>'Datos Actividad'!$P6*'FE Sectorial'!$H9*'FE Sectorial'!M9/1000/1000</f>
        <v>33.446088000000003</v>
      </c>
      <c r="M10" s="92">
        <f>'Datos Actividad'!$P6*'FE Sectorial'!$H9*'FE Sectorial'!N9/1000/1000</f>
        <v>8.3615220000000008</v>
      </c>
      <c r="N10" s="92">
        <f>'Datos Actividad'!$P6*'FE Sectorial'!$H9*'FE Sectorial'!O9/1000/1000</f>
        <v>1601.0046000000004</v>
      </c>
      <c r="O10" s="92">
        <f>IF(D10&lt;400,H10+I10*'Factores generales'!$M$41+J10*'Factores generales'!$N$41,I10*'Factores generales'!$M$41+J10*'Factores generales'!$N$41)</f>
        <v>155848.73625360001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Actividad'!$P7*'FE Sectorial'!$H10*'FE Sectorial'!I10*'FE Sectorial'!$P10/1000</f>
        <v>225498.08338199998</v>
      </c>
      <c r="I11" s="17">
        <f>'Datos Actividad'!$P7*'FE Sectorial'!$H10*'FE Sectorial'!J10/1000/1000</f>
        <v>9.2216939999999994</v>
      </c>
      <c r="J11" s="17">
        <f>'Datos Actividad'!$P7*'FE Sectorial'!$H10*'FE Sectorial'!K10/1000/1000</f>
        <v>1.8443388000000001</v>
      </c>
      <c r="K11" s="17">
        <f>'Datos Actividad'!$P7*'FE Sectorial'!$H10*'FE Sectorial'!L10/1000/1000</f>
        <v>614.77959999999996</v>
      </c>
      <c r="L11" s="17">
        <f>'Datos Actividad'!$P7*'FE Sectorial'!$H10*'FE Sectorial'!M10/1000/1000</f>
        <v>46.108470000000004</v>
      </c>
      <c r="M11" s="17">
        <f>'Datos Actividad'!$P7*'FE Sectorial'!$H10*'FE Sectorial'!N10/1000/1000</f>
        <v>15.369489999999999</v>
      </c>
      <c r="N11" s="17">
        <f>'Datos Actividad'!$P7*'FE Sectorial'!$H10*'FE Sectorial'!O10/1000/1000</f>
        <v>111.51816000000001</v>
      </c>
      <c r="O11" s="17">
        <f>IF(D11&lt;400,H11+I11*'Factores generales'!$M$41+J11*'Factores generales'!$N$41,I11*'Factores generales'!$M$41+J11*'Factores generales'!$N$41)</f>
        <v>226263.48398399999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Actividad'!$P8*'FE Sectorial'!$H11*'FE Sectorial'!I11*'FE Sectorial'!$P11/1000</f>
        <v>123750.22374000002</v>
      </c>
      <c r="I12" s="92">
        <f>'Datos Actividad'!$P8*'FE Sectorial'!$H11*'FE Sectorial'!J11/1000/1000</f>
        <v>4.84497</v>
      </c>
      <c r="J12" s="92">
        <f>'Datos Actividad'!$P8*'FE Sectorial'!$H11*'FE Sectorial'!K11/1000/1000</f>
        <v>0.96899400000000002</v>
      </c>
      <c r="K12" s="92">
        <f>'Datos Actividad'!$P8*'FE Sectorial'!$H11*'FE Sectorial'!L11/1000/1000</f>
        <v>322.99799999999999</v>
      </c>
      <c r="L12" s="92">
        <f>'Datos Actividad'!$P8*'FE Sectorial'!$H11*'FE Sectorial'!M11/1000/1000</f>
        <v>24.22485</v>
      </c>
      <c r="M12" s="92">
        <f>'Datos Actividad'!$P8*'FE Sectorial'!$H11*'FE Sectorial'!N11/1000/1000</f>
        <v>8.0749499999999994</v>
      </c>
      <c r="N12" s="92">
        <f>'Datos Actividad'!$P8*'FE Sectorial'!$H11*'FE Sectorial'!O11/1000/1000</f>
        <v>319.8</v>
      </c>
      <c r="O12" s="92">
        <f>IF(D12&lt;400,H12+I12*'Factores generales'!$M$41+J12*'Factores generales'!$N$41,I12*'Factores generales'!$M$41+J12*'Factores generales'!$N$41)</f>
        <v>124152.35625000001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Actividad'!$P9*'FE Sectorial'!$H12*'FE Sectorial'!I12*'FE Sectorial'!$P12/1000</f>
        <v>15439506.838991929</v>
      </c>
      <c r="I13" s="17">
        <f>'Datos Actividad'!$P9*'FE Sectorial'!$H12*'FE Sectorial'!J12/1000/1000</f>
        <v>276.59701070400001</v>
      </c>
      <c r="J13" s="17">
        <f>'Datos Actividad'!$P9*'FE Sectorial'!$H12*'FE Sectorial'!K12/1000/1000</f>
        <v>27.659701070399997</v>
      </c>
      <c r="K13" s="17">
        <f>'Datos Actividad'!$P9*'FE Sectorial'!$H12*'FE Sectorial'!L12/1000/1000</f>
        <v>41489.551605599998</v>
      </c>
      <c r="L13" s="17">
        <f>'Datos Actividad'!$P9*'FE Sectorial'!$H12*'FE Sectorial'!M12/1000/1000</f>
        <v>5531.9402140800003</v>
      </c>
      <c r="M13" s="17">
        <f>'Datos Actividad'!$P9*'FE Sectorial'!$H12*'FE Sectorial'!N12/1000/1000</f>
        <v>1382.9850535200001</v>
      </c>
      <c r="N13" s="17">
        <f>'Datos Actividad'!$P9*'FE Sectorial'!$H12*'FE Sectorial'!O12/1000/1000</f>
        <v>0</v>
      </c>
      <c r="O13" s="17">
        <f>IF(D13&lt;400,H13+I13*'Factores generales'!$M$41+J13*'Factores generales'!$N$41,I13*'Factores generales'!$M$41+J13*'Factores generales'!$N$41)</f>
        <v>15453889.883548537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Actividad'!$P10*'FE Sectorial'!$H13*'FE Sectorial'!I13*'FE Sectorial'!$P13/1000</f>
        <v>0</v>
      </c>
      <c r="I14" s="147">
        <f>'Datos Actividad'!$P10*'FE Sectorial'!$H13*'FE Sectorial'!J13/1000/1000</f>
        <v>0</v>
      </c>
      <c r="J14" s="147">
        <f>'Datos Actividad'!$P10*'FE Sectorial'!$H13*'FE Sectorial'!K13/1000/1000</f>
        <v>0</v>
      </c>
      <c r="K14" s="147">
        <f>'Datos Actividad'!$P10*'FE Sectorial'!$H13*'FE Sectorial'!L13/1000/1000</f>
        <v>0</v>
      </c>
      <c r="L14" s="147">
        <f>'Datos Actividad'!$P10*'FE Sectorial'!$H13*'FE Sectorial'!M13/1000/1000</f>
        <v>0</v>
      </c>
      <c r="M14" s="147">
        <f>'Datos Actividad'!$P10*'FE Sectorial'!$H13*'FE Sectorial'!N13/1000/1000</f>
        <v>0</v>
      </c>
      <c r="N14" s="147">
        <f>'Datos Actividad'!$P10*'FE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4552295.6075389609</v>
      </c>
      <c r="I17" s="134">
        <f t="shared" ref="I17:O17" si="5">SUM(I18:I25)</f>
        <v>102.92023075444843</v>
      </c>
      <c r="J17" s="134">
        <f t="shared" si="5"/>
        <v>19.917547892581396</v>
      </c>
      <c r="K17" s="134">
        <f t="shared" si="5"/>
        <v>12202.674019939437</v>
      </c>
      <c r="L17" s="134">
        <f t="shared" si="5"/>
        <v>1377.8982609395382</v>
      </c>
      <c r="M17" s="134">
        <f t="shared" si="5"/>
        <v>363.37751951681315</v>
      </c>
      <c r="N17" s="134">
        <f t="shared" si="5"/>
        <v>2448.6115403990534</v>
      </c>
      <c r="O17" s="134">
        <f t="shared" si="5"/>
        <v>4560631.3722315039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Actividad'!$P14*'FE Sectorial'!$H17*'FE Sectorial'!I17*'FE Sectorial'!P17/1000</f>
        <v>1104755.102203896</v>
      </c>
      <c r="I18" s="17">
        <f>'Datos Actividad'!$P14*'FE Sectorial'!$H17*'FE Sectorial'!J17/1000/1000</f>
        <v>19.791562127999999</v>
      </c>
      <c r="J18" s="17">
        <f>'Datos Actividad'!$P14*'FE Sectorial'!$H17*'FE Sectorial'!K17/1000/1000</f>
        <v>1.9791562127999998</v>
      </c>
      <c r="K18" s="17">
        <f>'Datos Actividad'!$P14*'FE Sectorial'!$H17*'FE Sectorial'!L17/1000/1000</f>
        <v>2968.7343191999998</v>
      </c>
      <c r="L18" s="17">
        <f>'Datos Actividad'!$P14*'FE Sectorial'!$H17*'FE Sectorial'!M17/1000/1000</f>
        <v>395.83124255999991</v>
      </c>
      <c r="M18" s="17">
        <f>'Datos Actividad'!$P14*'FE Sectorial'!$H17*'FE Sectorial'!N17/1000/1000</f>
        <v>98.957810639999977</v>
      </c>
      <c r="N18" s="17">
        <f>'Datos Actividad'!$P14*'FE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1105784.2634345521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Actividad'!$P15*'FE Sectorial'!$H18*'FE Sectorial'!I18*'FE Sectorial'!P18/1000</f>
        <v>22213.497185753422</v>
      </c>
      <c r="I19" s="17">
        <f>'Datos Actividad'!$P15*'FE Sectorial'!$H18*'FE Sectorial'!J18/1000/1000</f>
        <v>0.35559232876712327</v>
      </c>
      <c r="J19" s="17">
        <f>'Datos Actividad'!$P15*'FE Sectorial'!$H18*'FE Sectorial'!K18/1000/1000</f>
        <v>3.5559232876712331E-2</v>
      </c>
      <c r="K19" s="17">
        <f>'Datos Actividad'!$P15*'FE Sectorial'!$H18*'FE Sectorial'!L18/1000/1000</f>
        <v>53.338849315068487</v>
      </c>
      <c r="L19" s="17">
        <f>'Datos Actividad'!$P15*'FE Sectorial'!$H18*'FE Sectorial'!M18/1000/1000</f>
        <v>7.1118465753424651</v>
      </c>
      <c r="M19" s="17">
        <f>'Datos Actividad'!$P15*'FE Sectorial'!$H18*'FE Sectorial'!N18/1000/1000</f>
        <v>1.7779616438356163</v>
      </c>
      <c r="N19" s="17">
        <f>'Datos Actividad'!$P15*'FE Sectorial'!$H18*'FE Sectorial'!O18/1000/1000</f>
        <v>1.5035616438356167</v>
      </c>
      <c r="O19" s="87">
        <f>IF(D19&lt;400,H19+I19*'Factores generales'!$M$41+J19*'Factores generales'!$N$41,I19*'Factores generales'!$M$41+J19*'Factores generales'!$N$41)</f>
        <v>22231.987986849312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Actividad'!$P16*'FE Sectorial'!$H19*'FE Sectorial'!I19*'FE Sectorial'!P19/1000</f>
        <v>1935490.2918912002</v>
      </c>
      <c r="I20" s="17">
        <f>'Datos Actividad'!$P16*'FE Sectorial'!$H19*'FE Sectorial'!J19/1000/1000</f>
        <v>33.771117600000004</v>
      </c>
      <c r="J20" s="17">
        <f>'Datos Actividad'!$P16*'FE Sectorial'!$H19*'FE Sectorial'!K19/1000/1000</f>
        <v>3.37711176</v>
      </c>
      <c r="K20" s="17">
        <f>'Datos Actividad'!$P16*'FE Sectorial'!$H19*'FE Sectorial'!L19/1000/1000</f>
        <v>5065.6676399999997</v>
      </c>
      <c r="L20" s="17">
        <f>'Datos Actividad'!$P16*'FE Sectorial'!$H19*'FE Sectorial'!M19/1000/1000</f>
        <v>675.42235199999993</v>
      </c>
      <c r="M20" s="17">
        <f>'Datos Actividad'!$P16*'FE Sectorial'!$H19*'FE Sectorial'!N19/1000/1000</f>
        <v>168.85558799999998</v>
      </c>
      <c r="N20" s="17">
        <f>'Datos Actividad'!$P16*'FE Sectorial'!$H19*'FE Sectorial'!O19/1000/1000</f>
        <v>0</v>
      </c>
      <c r="O20" s="87">
        <f>IF(D20&lt;400,H20+I20*'Factores generales'!$M$41+J20*'Factores generales'!$N$41,I20*'Factores generales'!$M$41+J20*'Factores generales'!$N$41)</f>
        <v>1937246.3900064002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Actividad'!$P17*'FE Sectorial'!$H20*'FE Sectorial'!I20*'FE Sectorial'!P20/1000</f>
        <v>2522.1465200970874</v>
      </c>
      <c r="I21" s="17">
        <f>'Datos Actividad'!$P17*'FE Sectorial'!$H20*'FE Sectorial'!J20/1000/1000</f>
        <v>0.10689326213592236</v>
      </c>
      <c r="J21" s="17">
        <f>'Datos Actividad'!$P17*'FE Sectorial'!$H20*'FE Sectorial'!K20/1000/1000</f>
        <v>2.137865242718447E-2</v>
      </c>
      <c r="K21" s="17">
        <f>'Datos Actividad'!$P17*'FE Sectorial'!$H20*'FE Sectorial'!L20/1000/1000</f>
        <v>7.1262174757281569</v>
      </c>
      <c r="L21" s="17">
        <f>'Datos Actividad'!$P17*'FE Sectorial'!$H20*'FE Sectorial'!M20/1000/1000</f>
        <v>0.5344663106796117</v>
      </c>
      <c r="M21" s="17">
        <f>'Datos Actividad'!$P17*'FE Sectorial'!$H20*'FE Sectorial'!N20/1000/1000</f>
        <v>0.1781554368932039</v>
      </c>
      <c r="N21" s="17">
        <f>'Datos Actividad'!$P17*'FE Sectorial'!$H20*'FE Sectorial'!O20/1000/1000</f>
        <v>1.6159223300970877</v>
      </c>
      <c r="O21" s="87">
        <f>IF(D21&lt;400,H21+I21*'Factores generales'!$M$41+J21*'Factores generales'!$N$41,I21*'Factores generales'!$M$41+J21*'Factores generales'!$N$41)</f>
        <v>2531.018660854369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Actividad'!$P18*'FE Sectorial'!$H21*'FE Sectorial'!I21*'FE Sectorial'!P21/1000</f>
        <v>84884.582806434773</v>
      </c>
      <c r="I22" s="17">
        <f>'Datos Actividad'!$P18*'FE Sectorial'!$H21*'FE Sectorial'!J21/1000/1000</f>
        <v>3.711775014492753</v>
      </c>
      <c r="J22" s="17">
        <f>'Datos Actividad'!$P18*'FE Sectorial'!$H21*'FE Sectorial'!K21/1000/1000</f>
        <v>0.7423550028985505</v>
      </c>
      <c r="K22" s="17">
        <f>'Datos Actividad'!$P18*'FE Sectorial'!$H21*'FE Sectorial'!L21/1000/1000</f>
        <v>247.45166763285022</v>
      </c>
      <c r="L22" s="17">
        <f>'Datos Actividad'!$P18*'FE Sectorial'!$H21*'FE Sectorial'!M21/1000/1000</f>
        <v>18.558875072463763</v>
      </c>
      <c r="M22" s="17">
        <f>'Datos Actividad'!$P18*'FE Sectorial'!$H21*'FE Sectorial'!N21/1000/1000</f>
        <v>6.186291690821256</v>
      </c>
      <c r="N22" s="17">
        <f>'Datos Actividad'!$P18*'FE Sectorial'!$H21*'FE Sectorial'!O21/1000/1000</f>
        <v>5.5858164251207727</v>
      </c>
      <c r="O22" s="87">
        <f>IF(D22&lt;400,H22+I22*'Factores generales'!$M$41+J22*'Factores generales'!$N$41,I22*'Factores generales'!$M$41+J22*'Factores generales'!$N$41)</f>
        <v>85192.660132637669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Actividad'!$P19*'FE Sectorial'!$H22*'FE Sectorial'!I22*'FE Sectorial'!P22/1000</f>
        <v>137230.627248</v>
      </c>
      <c r="I23" s="17">
        <f>'Datos Actividad'!$P19*'FE Sectorial'!$H22*'FE Sectorial'!J22/1000/1000</f>
        <v>5.6120159999999997</v>
      </c>
      <c r="J23" s="17">
        <f>'Datos Actividad'!$P19*'FE Sectorial'!$H22*'FE Sectorial'!K22/1000/1000</f>
        <v>1.1224031999999999</v>
      </c>
      <c r="K23" s="17">
        <f>'Datos Actividad'!$P19*'FE Sectorial'!$H22*'FE Sectorial'!L22/1000/1000</f>
        <v>374.13440000000003</v>
      </c>
      <c r="L23" s="17">
        <f>'Datos Actividad'!$P19*'FE Sectorial'!$H22*'FE Sectorial'!M22/1000/1000</f>
        <v>28.060080000000003</v>
      </c>
      <c r="M23" s="17">
        <f>'Datos Actividad'!$P19*'FE Sectorial'!$H22*'FE Sectorial'!N22/1000/1000</f>
        <v>9.3533600000000003</v>
      </c>
      <c r="N23" s="17">
        <f>'Datos Actividad'!$P19*'FE Sectorial'!$H22*'FE Sectorial'!O22/1000/1000</f>
        <v>67.866240000000005</v>
      </c>
      <c r="O23" s="87">
        <f>IF(D23&lt;400,H23+I23*'Factores generales'!$M$41+J23*'Factores generales'!$N$41,I23*'Factores generales'!$M$41+J23*'Factores generales'!$N$41)</f>
        <v>137696.42457600002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Actividad'!$P20*'FE Sectorial'!$H23*'FE Sectorial'!I23*'FE Sectorial'!P23/1000</f>
        <v>917887.68205200008</v>
      </c>
      <c r="I24" s="17">
        <f>'Datos Actividad'!$P20*'FE Sectorial'!$H23*'FE Sectorial'!J23/1000/1000</f>
        <v>35.936406000000005</v>
      </c>
      <c r="J24" s="17">
        <f>'Datos Actividad'!$P20*'FE Sectorial'!$H23*'FE Sectorial'!K23/1000/1000</f>
        <v>7.1872812000000001</v>
      </c>
      <c r="K24" s="17">
        <f>'Datos Actividad'!$P20*'FE Sectorial'!$H23*'FE Sectorial'!L23/1000/1000</f>
        <v>2395.7604000000001</v>
      </c>
      <c r="L24" s="17">
        <f>'Datos Actividad'!$P20*'FE Sectorial'!$H23*'FE Sectorial'!M23/1000/1000</f>
        <v>179.68203</v>
      </c>
      <c r="M24" s="17">
        <f>'Datos Actividad'!$P20*'FE Sectorial'!$H23*'FE Sectorial'!N23/1000/1000</f>
        <v>59.894010000000002</v>
      </c>
      <c r="N24" s="17">
        <f>'Datos Actividad'!$P20*'FE Sectorial'!$H23*'FE Sectorial'!O23/1000/1000</f>
        <v>2372.04</v>
      </c>
      <c r="O24" s="87">
        <f>IF(D24&lt;400,H24+I24*'Factores generales'!$M$41+J24*'Factores generales'!$N$41,I24*'Factores generales'!$M$41+J24*'Factores generales'!$N$41)</f>
        <v>920870.40375000006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Actividad'!$P21*'FE Sectorial'!$H24*'FE Sectorial'!I24*'FE Sectorial'!P24/1000</f>
        <v>347311.67763157893</v>
      </c>
      <c r="I25" s="17">
        <f>'Datos Actividad'!$P21*'FE Sectorial'!$H24*'FE Sectorial'!J24/1000/1000</f>
        <v>3.6348684210526319</v>
      </c>
      <c r="J25" s="17">
        <f>'Datos Actividad'!$P21*'FE Sectorial'!$H24*'FE Sectorial'!K24/1000/1000</f>
        <v>5.4523026315789487</v>
      </c>
      <c r="K25" s="17">
        <f>'Datos Actividad'!$P21*'FE Sectorial'!$H24*'FE Sectorial'!L24/1000/1000</f>
        <v>1090.4605263157894</v>
      </c>
      <c r="L25" s="17">
        <f>'Datos Actividad'!$P21*'FE Sectorial'!$H24*'FE Sectorial'!M24/1000/1000</f>
        <v>72.697368421052644</v>
      </c>
      <c r="M25" s="17">
        <f>'Datos Actividad'!$P21*'FE Sectorial'!$H24*'FE Sectorial'!N24/1000/1000</f>
        <v>18.174342105263161</v>
      </c>
      <c r="N25" s="17">
        <f>'Datos Actividad'!$P21*'FE Sectorial'!$H24*'FE Sectorial'!O24/1000/1000</f>
        <v>0</v>
      </c>
      <c r="O25" s="87">
        <f>IF(D25&lt;400,H25+I25*'Factores generales'!$M$41+J25*'Factores generales'!$N$41,I25*'Factores generales'!$M$41+J25*'Factores generales'!$N$41)</f>
        <v>349078.2236842105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7454303.5036602002</v>
      </c>
      <c r="I26" s="134">
        <f t="shared" ref="I26:O26" si="6">I27+I28</f>
        <v>133.73447999999999</v>
      </c>
      <c r="J26" s="134">
        <f t="shared" si="6"/>
        <v>14.173745579999999</v>
      </c>
      <c r="K26" s="134">
        <f t="shared" si="6"/>
        <v>20058.35598</v>
      </c>
      <c r="L26" s="134">
        <f t="shared" si="6"/>
        <v>2660.7239850000001</v>
      </c>
      <c r="M26" s="134">
        <f t="shared" si="6"/>
        <v>665.56892999999991</v>
      </c>
      <c r="N26" s="134">
        <f t="shared" si="6"/>
        <v>581.46789999999999</v>
      </c>
      <c r="O26" s="134">
        <f t="shared" si="6"/>
        <v>7461505.7888700003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7454303.5036602002</v>
      </c>
      <c r="I28" s="15">
        <f t="shared" si="7"/>
        <v>133.73447999999999</v>
      </c>
      <c r="J28" s="15">
        <f t="shared" si="7"/>
        <v>14.173745579999999</v>
      </c>
      <c r="K28" s="15">
        <f t="shared" si="7"/>
        <v>20058.35598</v>
      </c>
      <c r="L28" s="15">
        <f t="shared" si="7"/>
        <v>2660.7239850000001</v>
      </c>
      <c r="M28" s="15">
        <f t="shared" si="7"/>
        <v>665.56892999999991</v>
      </c>
      <c r="N28" s="15">
        <f t="shared" si="7"/>
        <v>581.46789999999999</v>
      </c>
      <c r="O28" s="15">
        <f t="shared" si="7"/>
        <v>7461505.7888700003</v>
      </c>
    </row>
    <row r="29" spans="1:15" outlineLevel="1" x14ac:dyDescent="0.25">
      <c r="B29" s="1" t="s">
        <v>7</v>
      </c>
      <c r="G29" s="1"/>
      <c r="H29" s="95">
        <f t="shared" ref="H29:O29" si="8">H30+H31</f>
        <v>54353.684490599997</v>
      </c>
      <c r="I29" s="95">
        <f t="shared" si="8"/>
        <v>0.81280320000000006</v>
      </c>
      <c r="J29" s="95">
        <f t="shared" si="8"/>
        <v>0.81924030000000014</v>
      </c>
      <c r="K29" s="95">
        <f t="shared" si="8"/>
        <v>172.05246</v>
      </c>
      <c r="L29" s="95">
        <f t="shared" si="8"/>
        <v>11.641088999999999</v>
      </c>
      <c r="M29" s="95">
        <f t="shared" si="8"/>
        <v>3.0384659999999997</v>
      </c>
      <c r="N29" s="95">
        <f t="shared" si="8"/>
        <v>487.32189999999997</v>
      </c>
      <c r="O29" s="95">
        <f t="shared" si="8"/>
        <v>54624.717850799992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Actividad'!$P26*'FE Sectorial'!$H29*'FE Sectorial'!I29*'FE Sectorial'!P29/1000</f>
        <v>46830.352245599999</v>
      </c>
      <c r="I30" s="17">
        <f>'Datos Actividad'!$P26*'FE Sectorial'!$H29*'FE Sectorial'!J29/1000/1000</f>
        <v>0.50513819999999998</v>
      </c>
      <c r="J30" s="17">
        <f>'Datos Actividad'!$P26*'FE Sectorial'!$H29*'FE Sectorial'!K29/1000/1000</f>
        <v>0.75770730000000019</v>
      </c>
      <c r="K30" s="17">
        <f>'Datos Actividad'!$P26*'FE Sectorial'!$H29*'FE Sectorial'!L29/1000/1000</f>
        <v>151.54146</v>
      </c>
      <c r="L30" s="17">
        <f>'Datos Actividad'!$P26*'FE Sectorial'!$H29*'FE Sectorial'!M29/1000/1000</f>
        <v>10.102763999999999</v>
      </c>
      <c r="M30" s="17">
        <f>'Datos Actividad'!$P26*'FE Sectorial'!$H29*'FE Sectorial'!N29/1000/1000</f>
        <v>2.5256909999999997</v>
      </c>
      <c r="N30" s="17">
        <f>'Datos Actividad'!$P26*'FE Sectorial'!$H29*'FE Sectorial'!O29/1000/1000</f>
        <v>483.60129999999998</v>
      </c>
      <c r="O30" s="87">
        <f>IF(D30&lt;400,H30+I30*'Factores generales'!$M$41+J30*'Factores generales'!$N$41,I30*'Factores generales'!$M$41+J30*'Factores generales'!$N$41)</f>
        <v>47075.849410799994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Actividad'!$P27*'FE Sectorial'!$H30*'FE Sectorial'!I30*'FE Sectorial'!P30/1000</f>
        <v>7523.3322449999996</v>
      </c>
      <c r="I31" s="17">
        <f>'Datos Actividad'!$P27*'FE Sectorial'!$H30*'FE Sectorial'!J30/1000/1000</f>
        <v>0.30766500000000002</v>
      </c>
      <c r="J31" s="17">
        <f>'Datos Actividad'!$P27*'FE Sectorial'!$H30*'FE Sectorial'!K30/1000/1000</f>
        <v>6.1533000000000004E-2</v>
      </c>
      <c r="K31" s="17">
        <f>'Datos Actividad'!$P27*'FE Sectorial'!$H30*'FE Sectorial'!L30/1000/1000</f>
        <v>20.510999999999999</v>
      </c>
      <c r="L31" s="17">
        <f>'Datos Actividad'!$P27*'FE Sectorial'!$H30*'FE Sectorial'!M30/1000/1000</f>
        <v>1.5383249999999999</v>
      </c>
      <c r="M31" s="17">
        <f>'Datos Actividad'!$P27*'FE Sectorial'!$H30*'FE Sectorial'!N30/1000/1000</f>
        <v>0.51277499999999998</v>
      </c>
      <c r="N31" s="17">
        <f>'Datos Actividad'!$P27*'FE Sectorial'!$H30*'FE Sectorial'!O30/1000/1000</f>
        <v>3.7206000000000001</v>
      </c>
      <c r="O31" s="87">
        <f>IF(D31&lt;400,H31+I31*'Factores generales'!$M$41+J31*'Factores generales'!$N$41,I31*'Factores generales'!$M$41+J31*'Factores generales'!$N$41)</f>
        <v>7548.8684400000002</v>
      </c>
    </row>
    <row r="32" spans="1:15" outlineLevel="1" x14ac:dyDescent="0.25">
      <c r="B32" s="1" t="s">
        <v>6</v>
      </c>
      <c r="G32" s="1"/>
      <c r="H32" s="17">
        <f>H33+H34+H35</f>
        <v>7399949.8191696005</v>
      </c>
      <c r="I32" s="17">
        <f t="shared" ref="I32:O32" si="9">I33+I34+I35</f>
        <v>132.9216768</v>
      </c>
      <c r="J32" s="17">
        <f t="shared" si="9"/>
        <v>13.354505279999998</v>
      </c>
      <c r="K32" s="17">
        <f t="shared" si="9"/>
        <v>19886.303520000001</v>
      </c>
      <c r="L32" s="17">
        <f t="shared" si="9"/>
        <v>2649.0828959999999</v>
      </c>
      <c r="M32" s="17">
        <f t="shared" si="9"/>
        <v>662.53046399999994</v>
      </c>
      <c r="N32" s="17">
        <f t="shared" si="9"/>
        <v>94.146000000000001</v>
      </c>
      <c r="O32" s="17">
        <f t="shared" si="9"/>
        <v>7406881.0710192006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Actividad'!$P29*'FE Sectorial'!$H32*'FE Sectorial'!I32*'FE Sectorial'!P32/1000</f>
        <v>7384825.0015056003</v>
      </c>
      <c r="I33" s="17">
        <f>'Datos Actividad'!$P29*'FE Sectorial'!$H32*'FE Sectorial'!J32/1000/1000</f>
        <v>132.29830079999999</v>
      </c>
      <c r="J33" s="17">
        <f>'Datos Actividad'!$P29*'FE Sectorial'!$H32*'FE Sectorial'!K32/1000/1000</f>
        <v>13.229830079999999</v>
      </c>
      <c r="K33" s="17">
        <f>'Datos Actividad'!$P29*'FE Sectorial'!$H32*'FE Sectorial'!L32/1000/1000</f>
        <v>19844.74512</v>
      </c>
      <c r="L33" s="17">
        <f>'Datos Actividad'!$P29*'FE Sectorial'!$H32*'FE Sectorial'!M32/1000/1000</f>
        <v>2645.9660159999999</v>
      </c>
      <c r="M33" s="17">
        <f>'Datos Actividad'!$P29*'FE Sectorial'!$H32*'FE Sectorial'!N32/1000/1000</f>
        <v>661.49150399999996</v>
      </c>
      <c r="N33" s="17">
        <f>'Datos Actividad'!$P29*'FE Sectorial'!$H32*'FE Sectorial'!O32/1000/1000</f>
        <v>0</v>
      </c>
      <c r="O33" s="87">
        <f>IF(D33&lt;400,H33+I33*'Factores generales'!$M$41+J33*'Factores generales'!$N$41,I33*'Factores generales'!$M$41+J33*'Factores generales'!$N$41)</f>
        <v>7391704.5131472005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Actividad'!$P30*'FE Sectorial'!$H33*'FE Sectorial'!I33*'FE Sectorial'!P33/1000</f>
        <v>4258.4899500000001</v>
      </c>
      <c r="I34" s="17">
        <f>'Datos Actividad'!$P30*'FE Sectorial'!$H33*'FE Sectorial'!J33/1000/1000</f>
        <v>0.17415</v>
      </c>
      <c r="J34" s="17">
        <f>'Datos Actividad'!$P30*'FE Sectorial'!$H33*'FE Sectorial'!K33/1000/1000</f>
        <v>3.483E-2</v>
      </c>
      <c r="K34" s="17">
        <f>'Datos Actividad'!$P30*'FE Sectorial'!$H33*'FE Sectorial'!L33/1000/1000</f>
        <v>11.61</v>
      </c>
      <c r="L34" s="17">
        <f>'Datos Actividad'!$P30*'FE Sectorial'!$H33*'FE Sectorial'!M33/1000/1000</f>
        <v>0.87075000000000002</v>
      </c>
      <c r="M34" s="17">
        <f>'Datos Actividad'!$P30*'FE Sectorial'!$H33*'FE Sectorial'!N33/1000/1000</f>
        <v>0.29025000000000001</v>
      </c>
      <c r="N34" s="17">
        <f>'Datos Actividad'!$P30*'FE Sectorial'!$H33*'FE Sectorial'!O33/1000/1000</f>
        <v>2.1059999999999999</v>
      </c>
      <c r="O34" s="87">
        <f>IF(D34&lt;400,H34+I34*'Factores generales'!$M$41+J34*'Factores generales'!$N$41,I34*'Factores generales'!$M$41+J34*'Factores generales'!$N$41)</f>
        <v>4272.9444000000003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Actividad'!$P31*'FE Sectorial'!$H34*'FE Sectorial'!I34*'FE Sectorial'!P34/1000</f>
        <v>10866.327713999999</v>
      </c>
      <c r="I35" s="17">
        <f>'Datos Actividad'!$P31*'FE Sectorial'!$H34*'FE Sectorial'!J34/1000/1000</f>
        <v>0.44922600000000001</v>
      </c>
      <c r="J35" s="17">
        <f>'Datos Actividad'!$P31*'FE Sectorial'!$H34*'FE Sectorial'!K34/1000/1000</f>
        <v>8.9845199999999986E-2</v>
      </c>
      <c r="K35" s="17">
        <f>'Datos Actividad'!$P31*'FE Sectorial'!$H34*'FE Sectorial'!L34/1000/1000</f>
        <v>29.948400000000003</v>
      </c>
      <c r="L35" s="17">
        <f>'Datos Actividad'!$P31*'FE Sectorial'!$H34*'FE Sectorial'!M34/1000/1000</f>
        <v>2.24613</v>
      </c>
      <c r="M35" s="17">
        <f>'Datos Actividad'!$P31*'FE Sectorial'!$H34*'FE Sectorial'!N34/1000/1000</f>
        <v>0.74870999999999999</v>
      </c>
      <c r="N35" s="17">
        <f>'Datos Actividad'!$P31*'FE Sectorial'!$H34*'FE Sectorial'!O34/1000/1000</f>
        <v>92.04</v>
      </c>
      <c r="O35" s="87">
        <f>IF(D35&lt;400,H35+I35*'Factores generales'!$M$41+J35*'Factores generales'!$N$41,I35*'Factores generales'!$M$41+J35*'Factores generales'!$N$41)</f>
        <v>10903.613471999999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19053431.626663476</v>
      </c>
      <c r="I36" s="129">
        <f t="shared" si="10"/>
        <v>2762.1962363392195</v>
      </c>
      <c r="J36" s="129">
        <f t="shared" si="10"/>
        <v>376.63487365540425</v>
      </c>
      <c r="K36" s="129">
        <f t="shared" si="10"/>
        <v>54770.395101477938</v>
      </c>
      <c r="L36" s="129">
        <f t="shared" si="10"/>
        <v>309100.68726130383</v>
      </c>
      <c r="M36" s="129">
        <f t="shared" si="10"/>
        <v>5692.0283670146673</v>
      </c>
      <c r="N36" s="129">
        <f t="shared" si="10"/>
        <v>5911.6607692281832</v>
      </c>
      <c r="O36" s="129">
        <f t="shared" si="10"/>
        <v>19228194.558459774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5709651.5331256893</v>
      </c>
      <c r="I37" s="134">
        <f t="shared" ref="I37:O37" si="11">SUM(I38:I44)</f>
        <v>64.900324844489262</v>
      </c>
      <c r="J37" s="134">
        <f t="shared" si="11"/>
        <v>17.864386027372909</v>
      </c>
      <c r="K37" s="134">
        <f t="shared" si="11"/>
        <v>10946.705009129533</v>
      </c>
      <c r="L37" s="134">
        <f t="shared" si="11"/>
        <v>2919.3223872995904</v>
      </c>
      <c r="M37" s="134">
        <f t="shared" si="11"/>
        <v>446.04070446806043</v>
      </c>
      <c r="N37" s="134">
        <f t="shared" si="11"/>
        <v>4.9022399999999999</v>
      </c>
      <c r="O37" s="134">
        <f t="shared" si="11"/>
        <v>5716552.399615909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Actividad'!$P34*'FE Sectorial'!$H37*'FE Sectorial'!I37*'FE Sectorial'!P37/1000</f>
        <v>2416437.1081255679</v>
      </c>
      <c r="I38" s="17">
        <f>'Datos Actividad'!$P34*'FE Sectorial'!$H37*'FE Sectorial'!J37/1000/1000</f>
        <v>43.290196223999999</v>
      </c>
      <c r="J38" s="17">
        <f>'Datos Actividad'!$P34*'FE Sectorial'!$H37*'FE Sectorial'!K37/1000/1000</f>
        <v>4.3290196223999997</v>
      </c>
      <c r="K38" s="17">
        <f>'Datos Actividad'!$P34*'FE Sectorial'!$H37*'FE Sectorial'!L37/1000/1000</f>
        <v>6493.5294335999997</v>
      </c>
      <c r="L38" s="17">
        <f>'Datos Actividad'!$P34*'FE Sectorial'!$H37*'FE Sectorial'!M37/1000/1000</f>
        <v>1298.7058867200001</v>
      </c>
      <c r="M38" s="17">
        <f>'Datos Actividad'!$P34*'FE Sectorial'!$H37*'FE Sectorial'!N37/1000/1000</f>
        <v>216.45098112000002</v>
      </c>
      <c r="N38" s="17">
        <f>'Datos Actividad'!$P34*'FE Sectorial'!$H37*'FE Sectorial'!O37/1000/1000</f>
        <v>0</v>
      </c>
      <c r="O38" s="87">
        <f>IF(D38&lt;400,H38+I38*'Factores generales'!$M$41+J38*'Factores generales'!$N$41,I38*'Factores generales'!$M$41+J38*'Factores generales'!$N$41)</f>
        <v>2418688.1983292159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Actividad'!$P35*'FE Sectorial'!$H38*'FE Sectorial'!I38*'FE Sectorial'!P38/1000</f>
        <v>2318793.5358147104</v>
      </c>
      <c r="I39" s="17">
        <f>'Datos Actividad'!$P35*'FE Sectorial'!$H38*'FE Sectorial'!J38/1000/1000</f>
        <v>8.9632529409150017</v>
      </c>
      <c r="J39" s="17">
        <f>'Datos Actividad'!$P35*'FE Sectorial'!$H38*'FE Sectorial'!K38/1000/1000</f>
        <v>0.8963252940915003</v>
      </c>
      <c r="K39" s="17">
        <f>'Datos Actividad'!$P35*'FE Sectorial'!$H38*'FE Sectorial'!L38/1000/1000</f>
        <v>1344.4879411372503</v>
      </c>
      <c r="L39" s="17">
        <f>'Datos Actividad'!$P35*'FE Sectorial'!$H38*'FE Sectorial'!M38/1000/1000</f>
        <v>268.89758822745011</v>
      </c>
      <c r="M39" s="17">
        <f>'Datos Actividad'!$P35*'FE Sectorial'!$H38*'FE Sectorial'!N38/1000/1000</f>
        <v>44.816264704575012</v>
      </c>
      <c r="N39" s="17">
        <f>'Datos Actividad'!$P35*'FE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2319259.6249676384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Actividad'!$P36*'FE Sectorial'!$H39*'FE Sectorial'!I39*'FE Sectorial'!P39/1000</f>
        <v>196723.84158804963</v>
      </c>
      <c r="I40" s="17">
        <f>'Datos Actividad'!$P36*'FE Sectorial'!$H39*'FE Sectorial'!J39/1000/1000</f>
        <v>4.4529820632000012</v>
      </c>
      <c r="J40" s="17">
        <f>'Datos Actividad'!$P36*'FE Sectorial'!$H39*'FE Sectorial'!K39/1000/1000</f>
        <v>0.44529820632000011</v>
      </c>
      <c r="K40" s="17">
        <f>'Datos Actividad'!$P36*'FE Sectorial'!$H39*'FE Sectorial'!L39/1000/1000</f>
        <v>667.94730948000017</v>
      </c>
      <c r="L40" s="17">
        <f>'Datos Actividad'!$P36*'FE Sectorial'!$H39*'FE Sectorial'!M39/1000/1000</f>
        <v>133.58946189600002</v>
      </c>
      <c r="M40" s="17">
        <f>'Datos Actividad'!$P36*'FE Sectorial'!$H39*'FE Sectorial'!N39/1000/1000</f>
        <v>22.264910316000005</v>
      </c>
      <c r="N40" s="17">
        <f>'Datos Actividad'!$P36*'FE Sectorial'!$H39*'FE Sectorial'!O39/1000/1000</f>
        <v>0</v>
      </c>
      <c r="O40" s="87">
        <f>IF(D40&lt;400,H40+I40*'Factores generales'!$M$41+J40*'Factores generales'!$N$41,I40*'Factores generales'!$M$41+J40*'Factores generales'!$N$41)</f>
        <v>196955.39665533602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Actividad'!$P37*'FE Sectorial'!$H40*'FE Sectorial'!I40*'FE Sectorial'!P40/1000</f>
        <v>12.617747999999999</v>
      </c>
      <c r="I41" s="17">
        <f>'Datos Actividad'!$P37*'FE Sectorial'!$H40*'FE Sectorial'!J40/1000/1000</f>
        <v>5.1599999999999997E-4</v>
      </c>
      <c r="J41" s="17">
        <f>'Datos Actividad'!$P37*'FE Sectorial'!$H40*'FE Sectorial'!K40/1000/1000</f>
        <v>1.032E-4</v>
      </c>
      <c r="K41" s="17">
        <f>'Datos Actividad'!$P37*'FE Sectorial'!$H40*'FE Sectorial'!L40/1000/1000</f>
        <v>3.44E-2</v>
      </c>
      <c r="L41" s="17">
        <f>'Datos Actividad'!$P37*'FE Sectorial'!$H40*'FE Sectorial'!M40/1000/1000</f>
        <v>1.72E-3</v>
      </c>
      <c r="M41" s="17">
        <f>'Datos Actividad'!$P37*'FE Sectorial'!$H40*'FE Sectorial'!N40/1000/1000</f>
        <v>8.5999999999999998E-4</v>
      </c>
      <c r="N41" s="17">
        <f>'Datos Actividad'!$P37*'FE Sectorial'!$H40*'FE Sectorial'!O40/1000/1000</f>
        <v>6.2399999999999999E-3</v>
      </c>
      <c r="O41" s="87">
        <f>IF(D41&lt;400,H41+I41*'Factores generales'!$M$41+J41*'Factores generales'!$N$41,I41*'Factores generales'!$M$41+J41*'Factores generales'!$N$41)</f>
        <v>12.660575999999999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Actividad'!$P38*'FE Sectorial'!$H41*'FE Sectorial'!I41*'FE Sectorial'!P41/1000</f>
        <v>1894.5625248000001</v>
      </c>
      <c r="I42" s="17">
        <f>'Datos Actividad'!$P38*'FE Sectorial'!$H41*'FE Sectorial'!J41/1000/1000</f>
        <v>7.4174399999999988E-2</v>
      </c>
      <c r="J42" s="17">
        <f>'Datos Actividad'!$P38*'FE Sectorial'!$H41*'FE Sectorial'!K41/1000/1000</f>
        <v>1.483488E-2</v>
      </c>
      <c r="K42" s="17">
        <f>'Datos Actividad'!$P38*'FE Sectorial'!$H41*'FE Sectorial'!L41/1000/1000</f>
        <v>4.94496</v>
      </c>
      <c r="L42" s="17">
        <f>'Datos Actividad'!$P38*'FE Sectorial'!$H41*'FE Sectorial'!M41/1000/1000</f>
        <v>0.247248</v>
      </c>
      <c r="M42" s="17">
        <f>'Datos Actividad'!$P38*'FE Sectorial'!$H41*'FE Sectorial'!N41/1000/1000</f>
        <v>0.123624</v>
      </c>
      <c r="N42" s="17">
        <f>'Datos Actividad'!$P38*'FE Sectorial'!$H41*'FE Sectorial'!O41/1000/1000</f>
        <v>4.8959999999999999</v>
      </c>
      <c r="O42" s="87">
        <f>IF(D42&lt;400,H42+I42*'Factores generales'!$M$41+J42*'Factores generales'!$N$41,I42*'Factores generales'!$M$41+J42*'Factores generales'!$N$41)</f>
        <v>1900.7190000000001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Actividad'!$P39*'FE Sectorial'!$H42*'FE Sectorial'!I42*'FE Sectorial'!P42/1000</f>
        <v>649677.13815789483</v>
      </c>
      <c r="I43" s="17">
        <f>'Datos Actividad'!$P39*'FE Sectorial'!$H42*'FE Sectorial'!J42/1000/1000</f>
        <v>6.7993421052631584</v>
      </c>
      <c r="J43" s="17">
        <f>'Datos Actividad'!$P39*'FE Sectorial'!$H42*'FE Sectorial'!K42/1000/1000</f>
        <v>10.19901315789474</v>
      </c>
      <c r="K43" s="17">
        <f>'Datos Actividad'!$P39*'FE Sectorial'!$H42*'FE Sectorial'!L42/1000/1000</f>
        <v>2039.8026315789477</v>
      </c>
      <c r="L43" s="17">
        <f>'Datos Actividad'!$P39*'FE Sectorial'!$H42*'FE Sectorial'!M42/1000/1000</f>
        <v>1019.9013157894739</v>
      </c>
      <c r="M43" s="17">
        <f>'Datos Actividad'!$P39*'FE Sectorial'!$H42*'FE Sectorial'!N42/1000/1000</f>
        <v>135.98684210526318</v>
      </c>
      <c r="N43" s="17">
        <f>'Datos Actividad'!$P39*'FE Sectorial'!$H42*'FE Sectorial'!O42/1000/1000</f>
        <v>0</v>
      </c>
      <c r="O43" s="87">
        <f>IF(D43&lt;400,H43+I43*'Factores generales'!$M$41+J43*'Factores generales'!$N$41,I43*'Factores generales'!$M$41+J43*'Factores generales'!$N$41)</f>
        <v>652981.61842105282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Actividad'!$P40*'FE Sectorial'!$H43*'FE Sectorial'!I43*'FE Sectorial'!P43/1000</f>
        <v>126112.72916666666</v>
      </c>
      <c r="I44" s="17">
        <f>'Datos Actividad'!$P40*'FE Sectorial'!$H43*'FE Sectorial'!J43/1000/1000</f>
        <v>1.3198611111111112</v>
      </c>
      <c r="J44" s="17">
        <f>'Datos Actividad'!$P40*'FE Sectorial'!$H43*'FE Sectorial'!K43/1000/1000</f>
        <v>1.9797916666666668</v>
      </c>
      <c r="K44" s="17">
        <f>'Datos Actividad'!$P40*'FE Sectorial'!$H43*'FE Sectorial'!L43/1000/1000</f>
        <v>395.95833333333331</v>
      </c>
      <c r="L44" s="17">
        <f>'Datos Actividad'!$P40*'FE Sectorial'!$H43*'FE Sectorial'!M43/1000/1000</f>
        <v>197.97916666666666</v>
      </c>
      <c r="M44" s="17">
        <f>'Datos Actividad'!$P40*'FE Sectorial'!$H43*'FE Sectorial'!N43/1000/1000</f>
        <v>26.397222222222219</v>
      </c>
      <c r="N44" s="17">
        <f>'Datos Actividad'!$P40*'FE Sectorial'!$H43*'FE Sectorial'!O43/1000/1000</f>
        <v>0</v>
      </c>
      <c r="O44" s="87">
        <f>IF(D44&lt;400,H44+I44*'Factores generales'!$M$41+J44*'Factores generales'!$N$41,I44*'Factores generales'!$M$41+J44*'Factores generales'!$N$41)</f>
        <v>126754.18166666666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980867.50606944016</v>
      </c>
      <c r="I45" s="134">
        <f t="shared" ref="I45:O45" si="12">I46</f>
        <v>17.572129920000002</v>
      </c>
      <c r="J45" s="134">
        <f t="shared" si="12"/>
        <v>1.7572129920000001</v>
      </c>
      <c r="K45" s="134">
        <f t="shared" si="12"/>
        <v>2635.8194880000005</v>
      </c>
      <c r="L45" s="134">
        <f t="shared" si="12"/>
        <v>527.16389760000004</v>
      </c>
      <c r="M45" s="134">
        <f t="shared" si="12"/>
        <v>87.860649600000002</v>
      </c>
      <c r="N45" s="134">
        <f t="shared" si="12"/>
        <v>0</v>
      </c>
      <c r="O45" s="134">
        <f t="shared" si="12"/>
        <v>981781.25682528014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Actividad'!$P42*'FE Sectorial'!$H45*'FE Sectorial'!I45*'FE Sectorial'!P45/1000</f>
        <v>980867.50606944016</v>
      </c>
      <c r="I46" s="17">
        <f>'Datos Actividad'!$P42*'FE Sectorial'!$H45*'FE Sectorial'!J45/1000/1000</f>
        <v>17.572129920000002</v>
      </c>
      <c r="J46" s="17">
        <f>'Datos Actividad'!$P42*'FE Sectorial'!$H45*'FE Sectorial'!K45/1000/1000</f>
        <v>1.7572129920000001</v>
      </c>
      <c r="K46" s="17">
        <f>'Datos Actividad'!$P42*'FE Sectorial'!$H45*'FE Sectorial'!L45/1000/1000</f>
        <v>2635.8194880000005</v>
      </c>
      <c r="L46" s="17">
        <f>'Datos Actividad'!$P42*'FE Sectorial'!$H45*'FE Sectorial'!M45/1000/1000</f>
        <v>527.16389760000004</v>
      </c>
      <c r="M46" s="17">
        <f>'Datos Actividad'!$P42*'FE Sectorial'!$H45*'FE Sectorial'!N45/1000/1000</f>
        <v>87.860649600000002</v>
      </c>
      <c r="N46" s="17">
        <f>'Datos Actividad'!$P42*'FE Sectorial'!$H45*'FE Sectorial'!O45/1000/1000</f>
        <v>0</v>
      </c>
      <c r="O46" s="87">
        <f>IF(D46&lt;400,H46+I46*'Factores generales'!$M$41+J46*'Factores generales'!$N$41,I46*'Factores generales'!$M$41+J46*'Factores generales'!$N$41)</f>
        <v>981781.25682528014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1531010.2317327387</v>
      </c>
      <c r="I47" s="134">
        <f t="shared" ref="I47:O47" si="13">SUM(I48:I55)</f>
        <v>114.70480059447205</v>
      </c>
      <c r="J47" s="134">
        <f t="shared" si="13"/>
        <v>14.440404667087423</v>
      </c>
      <c r="K47" s="134">
        <f t="shared" si="13"/>
        <v>4403.7484375538497</v>
      </c>
      <c r="L47" s="134">
        <f t="shared" si="13"/>
        <v>12397.112555518837</v>
      </c>
      <c r="M47" s="134">
        <f t="shared" si="13"/>
        <v>281.49783420833853</v>
      </c>
      <c r="N47" s="134">
        <f t="shared" si="13"/>
        <v>21.67868</v>
      </c>
      <c r="O47" s="134">
        <f t="shared" si="13"/>
        <v>1537895.5579920195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Actividad'!$P44*'FE Sectorial'!$H47*'FE Sectorial'!I47*'FE Sectorial'!P47/1000</f>
        <v>1512538.1985861387</v>
      </c>
      <c r="I48" s="17">
        <f>'Datos Actividad'!$P44*'FE Sectorial'!$H47*'FE Sectorial'!J47/1000/1000</f>
        <v>27.096949965265523</v>
      </c>
      <c r="J48" s="17">
        <f>'Datos Actividad'!$P44*'FE Sectorial'!$H47*'FE Sectorial'!K47/1000/1000</f>
        <v>2.7096949965265527</v>
      </c>
      <c r="K48" s="17">
        <f>'Datos Actividad'!$P44*'FE Sectorial'!$H47*'FE Sectorial'!L47/1000/1000</f>
        <v>4064.5424947898277</v>
      </c>
      <c r="L48" s="17">
        <f>'Datos Actividad'!$P44*'FE Sectorial'!$H47*'FE Sectorial'!M47/1000/1000</f>
        <v>812.90849895796566</v>
      </c>
      <c r="M48" s="17">
        <f>'Datos Actividad'!$P44*'FE Sectorial'!$H47*'FE Sectorial'!N47/1000/1000</f>
        <v>135.4847498263276</v>
      </c>
      <c r="N48" s="17">
        <f>'Datos Actividad'!$P44*'FE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1513947.2399843324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Actividad'!$P45*'FE Sectorial'!$H48*'FE Sectorial'!I48*'FE Sectorial'!P48/1000</f>
        <v>0</v>
      </c>
      <c r="I49" s="17">
        <f>'Datos Actividad'!$P45*'FE Sectorial'!$H48*'FE Sectorial'!J48/1000/1000</f>
        <v>0</v>
      </c>
      <c r="J49" s="17">
        <f>'Datos Actividad'!$P45*'FE Sectorial'!$H48*'FE Sectorial'!K48/1000/1000</f>
        <v>0</v>
      </c>
      <c r="K49" s="17">
        <f>'Datos Actividad'!$P45*'FE Sectorial'!$H48*'FE Sectorial'!L48/1000/1000</f>
        <v>0</v>
      </c>
      <c r="L49" s="17">
        <f>'Datos Actividad'!$P45*'FE Sectorial'!$H48*'FE Sectorial'!M48/1000/1000</f>
        <v>0</v>
      </c>
      <c r="M49" s="17">
        <f>'Datos Actividad'!$P45*'FE Sectorial'!$H48*'FE Sectorial'!N48/1000/1000</f>
        <v>0</v>
      </c>
      <c r="N49" s="17">
        <f>'Datos Actividad'!$P45*'FE Sectorial'!$H48*'FE Sectorial'!O48/1000/1000</f>
        <v>0</v>
      </c>
      <c r="O49" s="87">
        <f>IF(D49&lt;400,H49+I49*'Factores generales'!$M$41+J49*'Factores generales'!$N$41,I49*'Factores generales'!$M$41+J49*'Factores generales'!$N$41)</f>
        <v>0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Actividad'!$P46*'FE Sectorial'!$H49*'FE Sectorial'!I49*'FE Sectorial'!P49/1000</f>
        <v>12469.489460999997</v>
      </c>
      <c r="I50" s="17">
        <f>'Datos Actividad'!$P46*'FE Sectorial'!$H49*'FE Sectorial'!J49/1000/1000</f>
        <v>0.50993699999999986</v>
      </c>
      <c r="J50" s="17">
        <f>'Datos Actividad'!$P46*'FE Sectorial'!$H49*'FE Sectorial'!K49/1000/1000</f>
        <v>0.10198739999999998</v>
      </c>
      <c r="K50" s="17">
        <f>'Datos Actividad'!$P46*'FE Sectorial'!$H49*'FE Sectorial'!L49/1000/1000</f>
        <v>33.995799999999996</v>
      </c>
      <c r="L50" s="17">
        <f>'Datos Actividad'!$P46*'FE Sectorial'!$H49*'FE Sectorial'!M49/1000/1000</f>
        <v>1.6997899999999997</v>
      </c>
      <c r="M50" s="17">
        <f>'Datos Actividad'!$P46*'FE Sectorial'!$H49*'FE Sectorial'!N49/1000/1000</f>
        <v>0.84989499999999985</v>
      </c>
      <c r="N50" s="17">
        <f>'Datos Actividad'!$P46*'FE Sectorial'!$H49*'FE Sectorial'!O49/1000/1000</f>
        <v>6.1666799999999995</v>
      </c>
      <c r="O50" s="87">
        <f>IF(D50&lt;400,H50+I50*'Factores generales'!$M$41+J50*'Factores generales'!$N$41,I50*'Factores generales'!$M$41+J50*'Factores generales'!$N$41)</f>
        <v>12511.814231999999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Actividad'!$P47*'FE Sectorial'!$H50*'FE Sectorial'!I50*'FE Sectorial'!P50/1000</f>
        <v>0</v>
      </c>
      <c r="I51" s="17">
        <f>'Datos Actividad'!$P47*'FE Sectorial'!$H50*'FE Sectorial'!J50/1000/1000</f>
        <v>0</v>
      </c>
      <c r="J51" s="17">
        <f>'Datos Actividad'!$P47*'FE Sectorial'!$H50*'FE Sectorial'!K50/1000/1000</f>
        <v>0</v>
      </c>
      <c r="K51" s="17">
        <f>'Datos Actividad'!$P47*'FE Sectorial'!$H50*'FE Sectorial'!L50/1000/1000</f>
        <v>0</v>
      </c>
      <c r="L51" s="17">
        <f>'Datos Actividad'!$P47*'FE Sectorial'!$H50*'FE Sectorial'!M50/1000/1000</f>
        <v>0</v>
      </c>
      <c r="M51" s="17">
        <f>'Datos Actividad'!$P47*'FE Sectorial'!$H50*'FE Sectorial'!N50/1000/1000</f>
        <v>0</v>
      </c>
      <c r="N51" s="17">
        <f>'Datos Actividad'!$P47*'FE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Actividad'!$P48*'FE Sectorial'!$H51*'FE Sectorial'!I51*'FE Sectorial'!P51/1000</f>
        <v>6002.5436855999997</v>
      </c>
      <c r="I52" s="17">
        <f>'Datos Actividad'!$P48*'FE Sectorial'!$H51*'FE Sectorial'!J51/1000/1000</f>
        <v>0.23500679999999999</v>
      </c>
      <c r="J52" s="17">
        <f>'Datos Actividad'!$P48*'FE Sectorial'!$H51*'FE Sectorial'!K51/1000/1000</f>
        <v>4.7001359999999992E-2</v>
      </c>
      <c r="K52" s="17">
        <f>'Datos Actividad'!$P48*'FE Sectorial'!$H51*'FE Sectorial'!L51/1000/1000</f>
        <v>15.667119999999999</v>
      </c>
      <c r="L52" s="17">
        <f>'Datos Actividad'!$P48*'FE Sectorial'!$H51*'FE Sectorial'!M51/1000/1000</f>
        <v>0.78335599999999983</v>
      </c>
      <c r="M52" s="17">
        <f>'Datos Actividad'!$P48*'FE Sectorial'!$H51*'FE Sectorial'!N51/1000/1000</f>
        <v>0.39167799999999992</v>
      </c>
      <c r="N52" s="17">
        <f>'Datos Actividad'!$P48*'FE Sectorial'!$H51*'FE Sectorial'!O51/1000/1000</f>
        <v>15.511999999999999</v>
      </c>
      <c r="O52" s="87">
        <f>IF(D52&lt;400,H52+I52*'Factores generales'!$M$41+J52*'Factores generales'!$N$41,I52*'Factores generales'!$M$41+J52*'Factores generales'!$N$41)</f>
        <v>6022.04925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Actividad'!$P49*'FE Sectorial'!$H52*'FE Sectorial'!I52*'FE Sectorial'!P52/1000</f>
        <v>251902.42980469891</v>
      </c>
      <c r="I53" s="17">
        <f>'Datos Actividad'!$P49*'FE Sectorial'!$H52*'FE Sectorial'!J52/1000/1000</f>
        <v>86.862906829206523</v>
      </c>
      <c r="J53" s="17">
        <f>'Datos Actividad'!$P49*'FE Sectorial'!$H52*'FE Sectorial'!K52/1000/1000</f>
        <v>11.58172091056087</v>
      </c>
      <c r="K53" s="17">
        <f>'Datos Actividad'!$P49*'FE Sectorial'!$H52*'FE Sectorial'!L52/1000/1000</f>
        <v>289.54302276402177</v>
      </c>
      <c r="L53" s="17">
        <f>'Datos Actividad'!$P49*'FE Sectorial'!$H52*'FE Sectorial'!M52/1000/1000</f>
        <v>11581.720910560871</v>
      </c>
      <c r="M53" s="17">
        <f>'Datos Actividad'!$P49*'FE Sectorial'!$H52*'FE Sectorial'!N52/1000/1000</f>
        <v>144.77151138201089</v>
      </c>
      <c r="N53" s="17">
        <f>'Datos Actividad'!$P49*'FE Sectorial'!$H52*'FE Sectorial'!O52/1000/1000</f>
        <v>0</v>
      </c>
      <c r="O53" s="87">
        <f>IF(D53&lt;400,H53+I53*'Factores generales'!$M$41+J53*'Factores generales'!$N$41,I53*'Factores generales'!$M$41+J53*'Factores generales'!$N$41)</f>
        <v>5414.454525687207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Actividad'!$P50*'FE Sectorial'!$H53*'FE Sectorial'!I53*'FE Sectorial'!P53/1000</f>
        <v>0</v>
      </c>
      <c r="I54" s="17">
        <f>'Datos Actividad'!$P50*'FE Sectorial'!$H53*'FE Sectorial'!J53/1000/1000</f>
        <v>0</v>
      </c>
      <c r="J54" s="17">
        <f>'Datos Actividad'!$P50*'FE Sectorial'!$H53*'FE Sectorial'!K53/1000/1000</f>
        <v>0</v>
      </c>
      <c r="K54" s="17">
        <f>'Datos Actividad'!$P50*'FE Sectorial'!$H53*'FE Sectorial'!L53/1000/1000</f>
        <v>0</v>
      </c>
      <c r="L54" s="17">
        <f>'Datos Actividad'!$P50*'FE Sectorial'!$H53*'FE Sectorial'!M53/1000/1000</f>
        <v>0</v>
      </c>
      <c r="M54" s="17">
        <f>'Datos Actividad'!$P50*'FE Sectorial'!$H53*'FE Sectorial'!N53/1000/1000</f>
        <v>0</v>
      </c>
      <c r="N54" s="17">
        <f>'Datos Actividad'!$P50*'FE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Actividad'!$P51*'FE Sectorial'!$H54*'FE Sectorial'!I54*'FE Sectorial'!P54/1000</f>
        <v>0</v>
      </c>
      <c r="I55" s="17">
        <f>'Datos Actividad'!$P51*'FE Sectorial'!$H54*'FE Sectorial'!J54/1000/1000</f>
        <v>0</v>
      </c>
      <c r="J55" s="17">
        <f>'Datos Actividad'!$P51*'FE Sectorial'!$H54*'FE Sectorial'!K54/1000/1000</f>
        <v>0</v>
      </c>
      <c r="K55" s="17">
        <f>'Datos Actividad'!$P51*'FE Sectorial'!$H54*'FE Sectorial'!L54/1000/1000</f>
        <v>0</v>
      </c>
      <c r="L55" s="17">
        <f>'Datos Actividad'!$P51*'FE Sectorial'!$H54*'FE Sectorial'!M54/1000/1000</f>
        <v>0</v>
      </c>
      <c r="M55" s="17">
        <f>'Datos Actividad'!$P51*'FE Sectorial'!$H54*'FE Sectorial'!N54/1000/1000</f>
        <v>0</v>
      </c>
      <c r="N55" s="17">
        <f>'Datos Actividad'!$P51*'FE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682525.15160702413</v>
      </c>
      <c r="I56" s="134">
        <f>SUM(I57:I62)</f>
        <v>568.78960926120646</v>
      </c>
      <c r="J56" s="134">
        <f t="shared" ref="J56:O56" si="14">SUM(J57:J62)</f>
        <v>75.652147153760865</v>
      </c>
      <c r="K56" s="134">
        <f t="shared" si="14"/>
        <v>3679.2957275640215</v>
      </c>
      <c r="L56" s="134">
        <f t="shared" si="14"/>
        <v>65802.884763520866</v>
      </c>
      <c r="M56" s="134">
        <f t="shared" si="14"/>
        <v>984.62706354201077</v>
      </c>
      <c r="N56" s="134">
        <f t="shared" si="14"/>
        <v>1270.7031199999999</v>
      </c>
      <c r="O56" s="134">
        <f t="shared" si="14"/>
        <v>717921.89901917533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Actividad'!$P53*'FE Sectorial'!$H56*'FE Sectorial'!I56*'FE Sectorial'!P56/1000</f>
        <v>613641.31493702403</v>
      </c>
      <c r="I57" s="17">
        <f>'Datos Actividad'!$P53*'FE Sectorial'!$H56*'FE Sectorial'!J56/1000/1000</f>
        <v>10.993314432</v>
      </c>
      <c r="J57" s="17">
        <f>'Datos Actividad'!$P53*'FE Sectorial'!$H56*'FE Sectorial'!K56/1000/1000</f>
        <v>1.0993314432000001</v>
      </c>
      <c r="K57" s="17">
        <f>'Datos Actividad'!$P53*'FE Sectorial'!$H56*'FE Sectorial'!L56/1000/1000</f>
        <v>1648.9971647999998</v>
      </c>
      <c r="L57" s="17">
        <f>'Datos Actividad'!$P53*'FE Sectorial'!$H56*'FE Sectorial'!M56/1000/1000</f>
        <v>329.79943295999999</v>
      </c>
      <c r="M57" s="17">
        <f>'Datos Actividad'!$P53*'FE Sectorial'!$H56*'FE Sectorial'!N56/1000/1000</f>
        <v>54.966572159999998</v>
      </c>
      <c r="N57" s="17">
        <f>'Datos Actividad'!$P53*'FE Sectorial'!$H56*'FE Sectorial'!O56/1000/1000</f>
        <v>0</v>
      </c>
      <c r="O57" s="87">
        <f>IF(D57&lt;400,H57+I57*'Factores generales'!$M$41+J57*'Factores generales'!$N$41,I57*'Factores generales'!$M$41+J57*'Factores generales'!$N$41)</f>
        <v>614212.96728748805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Actividad'!$P54*'FE Sectorial'!$H57*'FE Sectorial'!I57*'FE Sectorial'!P57/1000</f>
        <v>1583.5273739999998</v>
      </c>
      <c r="I58" s="17">
        <f>'Datos Actividad'!$P54*'FE Sectorial'!$H57*'FE Sectorial'!J57/1000/1000</f>
        <v>6.4757999999999996E-2</v>
      </c>
      <c r="J58" s="17">
        <f>'Datos Actividad'!$P54*'FE Sectorial'!$H57*'FE Sectorial'!K57/1000/1000</f>
        <v>1.2951600000000001E-2</v>
      </c>
      <c r="K58" s="17">
        <f>'Datos Actividad'!$P54*'FE Sectorial'!$H57*'FE Sectorial'!L57/1000/1000</f>
        <v>4.3171999999999997</v>
      </c>
      <c r="L58" s="17">
        <f>'Datos Actividad'!$P54*'FE Sectorial'!$H57*'FE Sectorial'!M57/1000/1000</f>
        <v>0.21586000000000002</v>
      </c>
      <c r="M58" s="17">
        <f>'Datos Actividad'!$P54*'FE Sectorial'!$H57*'FE Sectorial'!N57/1000/1000</f>
        <v>0.10793000000000001</v>
      </c>
      <c r="N58" s="17">
        <f>'Datos Actividad'!$P54*'FE Sectorial'!$H57*'FE Sectorial'!O57/1000/1000</f>
        <v>0.78312000000000004</v>
      </c>
      <c r="O58" s="87">
        <f>IF(D58&lt;400,H58+I58*'Factores generales'!$M$41+J58*'Factores generales'!$N$41,I58*'Factores generales'!$M$41+J58*'Factores generales'!$N$41)</f>
        <v>1588.902288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Actividad'!$P55*'FE Sectorial'!$H58*'FE Sectorial'!I58*'FE Sectorial'!P58/1000</f>
        <v>67300.309296000007</v>
      </c>
      <c r="I59" s="17">
        <f>'Datos Actividad'!$P55*'FE Sectorial'!$H58*'FE Sectorial'!J58/1000/1000</f>
        <v>2.6348880000000001</v>
      </c>
      <c r="J59" s="17">
        <f>'Datos Actividad'!$P55*'FE Sectorial'!$H58*'FE Sectorial'!K58/1000/1000</f>
        <v>0.52697759999999993</v>
      </c>
      <c r="K59" s="17">
        <f>'Datos Actividad'!$P55*'FE Sectorial'!$H58*'FE Sectorial'!L58/1000/1000</f>
        <v>175.6592</v>
      </c>
      <c r="L59" s="17">
        <f>'Datos Actividad'!$P55*'FE Sectorial'!$H58*'FE Sectorial'!M58/1000/1000</f>
        <v>8.7829599999999992</v>
      </c>
      <c r="M59" s="17">
        <f>'Datos Actividad'!$P55*'FE Sectorial'!$H58*'FE Sectorial'!N58/1000/1000</f>
        <v>4.3914799999999996</v>
      </c>
      <c r="N59" s="17">
        <f>'Datos Actividad'!$P55*'FE Sectorial'!$H58*'FE Sectorial'!O58/1000/1000</f>
        <v>173.92</v>
      </c>
      <c r="O59" s="87">
        <f>IF(D59&lt;400,H59+I59*'Factores generales'!$M$41+J59*'Factores generales'!$N$41,I59*'Factores generales'!$M$41+J59*'Factores generales'!$N$41)</f>
        <v>67519.005000000005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Actividad'!$P56*'FE Sectorial'!$H59*'FE Sectorial'!I59*'FE Sectorial'!P59/1000</f>
        <v>691906.00619999995</v>
      </c>
      <c r="I60" s="17">
        <f>'Datos Actividad'!$P56*'FE Sectorial'!$H59*'FE Sectorial'!J59/1000/1000</f>
        <v>238.58827799999997</v>
      </c>
      <c r="J60" s="17">
        <f>'Datos Actividad'!$P56*'FE Sectorial'!$H59*'FE Sectorial'!K59/1000/1000</f>
        <v>31.811770399999993</v>
      </c>
      <c r="K60" s="17">
        <f>'Datos Actividad'!$P56*'FE Sectorial'!$H59*'FE Sectorial'!L59/1000/1000</f>
        <v>795.29425999999989</v>
      </c>
      <c r="L60" s="17">
        <f>'Datos Actividad'!$P56*'FE Sectorial'!$H59*'FE Sectorial'!M59/1000/1000</f>
        <v>31811.770399999994</v>
      </c>
      <c r="M60" s="17">
        <f>'Datos Actividad'!$P56*'FE Sectorial'!$H59*'FE Sectorial'!N59/1000/1000</f>
        <v>397.64712999999995</v>
      </c>
      <c r="N60" s="17">
        <f>'Datos Actividad'!$P56*'FE Sectorial'!$H59*'FE Sectorial'!O59/1000/1000</f>
        <v>0</v>
      </c>
      <c r="O60" s="87">
        <f>IF(D60&lt;400,H60+I60*'Factores generales'!$M$41+J60*'Factores generales'!$N$41,I60*'Factores generales'!$M$41+J60*'Factores generales'!$N$41)</f>
        <v>14872.002661999997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Actividad'!$P57*'FE Sectorial'!$H60*'FE Sectorial'!I60*'FE Sectorial'!P60/1000</f>
        <v>416497.53600000002</v>
      </c>
      <c r="I61" s="17">
        <f>'Datos Actividad'!$P57*'FE Sectorial'!$H60*'FE Sectorial'!J60/1000/1000</f>
        <v>128.232</v>
      </c>
      <c r="J61" s="17">
        <f>'Datos Actividad'!$P57*'FE Sectorial'!$H60*'FE Sectorial'!K60/1000/1000</f>
        <v>17.0976</v>
      </c>
      <c r="K61" s="17">
        <f>'Datos Actividad'!$P57*'FE Sectorial'!$H60*'FE Sectorial'!L60/1000/1000</f>
        <v>427.44</v>
      </c>
      <c r="L61" s="17">
        <f>'Datos Actividad'!$P57*'FE Sectorial'!$H60*'FE Sectorial'!M60/1000/1000</f>
        <v>8548.7999999999993</v>
      </c>
      <c r="M61" s="17">
        <f>'Datos Actividad'!$P57*'FE Sectorial'!$H60*'FE Sectorial'!N60/1000/1000</f>
        <v>213.72</v>
      </c>
      <c r="N61" s="17">
        <f>'Datos Actividad'!$P57*'FE Sectorial'!$H60*'FE Sectorial'!O60/1000/1000</f>
        <v>1096</v>
      </c>
      <c r="O61" s="87">
        <f>IF(D61&lt;400,H61+I61*'Factores generales'!$M$41+J61*'Factores generales'!$N$41,I61*'Factores generales'!$M$41+J61*'Factores generales'!$N$41)</f>
        <v>7993.1280000000006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Actividad'!$P58*'FE Sectorial'!$H61*'FE Sectorial'!I61*'FE Sectorial'!P61/1000</f>
        <v>546001.47540469898</v>
      </c>
      <c r="I62" s="17">
        <f>'Datos Actividad'!$P58*'FE Sectorial'!$H61*'FE Sectorial'!J61/1000/1000</f>
        <v>188.27637082920651</v>
      </c>
      <c r="J62" s="17">
        <f>'Datos Actividad'!$P58*'FE Sectorial'!$H61*'FE Sectorial'!K61/1000/1000</f>
        <v>25.103516110560872</v>
      </c>
      <c r="K62" s="17">
        <f>'Datos Actividad'!$P58*'FE Sectorial'!$H61*'FE Sectorial'!L61/1000/1000</f>
        <v>627.58790276402181</v>
      </c>
      <c r="L62" s="17">
        <f>'Datos Actividad'!$P58*'FE Sectorial'!$H61*'FE Sectorial'!M61/1000/1000</f>
        <v>25103.516110560871</v>
      </c>
      <c r="M62" s="17">
        <f>'Datos Actividad'!$P58*'FE Sectorial'!$H61*'FE Sectorial'!N61/1000/1000</f>
        <v>313.7939513820109</v>
      </c>
      <c r="N62" s="17">
        <f>'Datos Actividad'!$P58*'FE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11735.893781687208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2628747.1052979846</v>
      </c>
      <c r="I63" s="134">
        <f>SUM(I64:I69)</f>
        <v>1507.8765585412064</v>
      </c>
      <c r="J63" s="134">
        <f t="shared" ref="J63:O63" si="15">SUM(J64:J69)</f>
        <v>199.51573637509421</v>
      </c>
      <c r="K63" s="134">
        <f t="shared" si="15"/>
        <v>11932.207652897354</v>
      </c>
      <c r="L63" s="134">
        <f t="shared" si="15"/>
        <v>196047.87931925416</v>
      </c>
      <c r="M63" s="134">
        <f t="shared" si="15"/>
        <v>2669.4584446086774</v>
      </c>
      <c r="N63" s="134">
        <f t="shared" si="15"/>
        <v>31.739920000000005</v>
      </c>
      <c r="O63" s="134">
        <f t="shared" si="15"/>
        <v>2722262.3913036282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Actividad'!$P60*'FE Sectorial'!$H63*'FE Sectorial'!I63*'FE Sectorial'!P63/1000</f>
        <v>2617892.9149047844</v>
      </c>
      <c r="I64" s="17">
        <f>'Datos Actividad'!$P60*'FE Sectorial'!$H63*'FE Sectorial'!J63/1000/1000</f>
        <v>46.899254112000001</v>
      </c>
      <c r="J64" s="17">
        <f>'Datos Actividad'!$P60*'FE Sectorial'!$H63*'FE Sectorial'!K63/1000/1000</f>
        <v>4.6899254112000008</v>
      </c>
      <c r="K64" s="17">
        <f>'Datos Actividad'!$P60*'FE Sectorial'!$H63*'FE Sectorial'!L63/1000/1000</f>
        <v>7034.8881167999998</v>
      </c>
      <c r="L64" s="17">
        <f>'Datos Actividad'!$P60*'FE Sectorial'!$H63*'FE Sectorial'!M63/1000/1000</f>
        <v>1406.9776233600001</v>
      </c>
      <c r="M64" s="17">
        <f>'Datos Actividad'!$P60*'FE Sectorial'!$H63*'FE Sectorial'!N63/1000/1000</f>
        <v>234.49627056</v>
      </c>
      <c r="N64" s="17">
        <f>'Datos Actividad'!$P60*'FE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2620331.6761186081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Actividad'!$P61*'FE Sectorial'!$H64*'FE Sectorial'!I64*'FE Sectorial'!P64/1000</f>
        <v>4359.4319339999993</v>
      </c>
      <c r="I65" s="17">
        <f>'Datos Actividad'!$P61*'FE Sectorial'!$H64*'FE Sectorial'!J64/1000/1000</f>
        <v>0.17827799999999999</v>
      </c>
      <c r="J65" s="17">
        <f>'Datos Actividad'!$P61*'FE Sectorial'!$H64*'FE Sectorial'!K64/1000/1000</f>
        <v>3.5655600000000003E-2</v>
      </c>
      <c r="K65" s="17">
        <f>'Datos Actividad'!$P61*'FE Sectorial'!$H64*'FE Sectorial'!L64/1000/1000</f>
        <v>11.885200000000001</v>
      </c>
      <c r="L65" s="17">
        <f>'Datos Actividad'!$P61*'FE Sectorial'!$H64*'FE Sectorial'!M64/1000/1000</f>
        <v>0.59426000000000001</v>
      </c>
      <c r="M65" s="17">
        <f>'Datos Actividad'!$P61*'FE Sectorial'!$H64*'FE Sectorial'!N64/1000/1000</f>
        <v>0.29713000000000001</v>
      </c>
      <c r="N65" s="17">
        <f>'Datos Actividad'!$P61*'FE Sectorial'!$H64*'FE Sectorial'!O64/1000/1000</f>
        <v>2.1559200000000001</v>
      </c>
      <c r="O65" s="87">
        <f>IF(D65&lt;400,H65+I65*'Factores generales'!$M$41+J65*'Factores generales'!$N$41,I65*'Factores generales'!$M$41+J65*'Factores generales'!$N$41)</f>
        <v>4374.2290079999993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Actividad'!$P62*'FE Sectorial'!$H65*'FE Sectorial'!I65*'FE Sectorial'!P65/1000</f>
        <v>6494.7584592000003</v>
      </c>
      <c r="I66" s="17">
        <f>'Datos Actividad'!$P62*'FE Sectorial'!$H65*'FE Sectorial'!J65/1000/1000</f>
        <v>0.25427759999999999</v>
      </c>
      <c r="J66" s="17">
        <f>'Datos Actividad'!$P62*'FE Sectorial'!$H65*'FE Sectorial'!K65/1000/1000</f>
        <v>5.0855520000000001E-2</v>
      </c>
      <c r="K66" s="17">
        <f>'Datos Actividad'!$P62*'FE Sectorial'!$H65*'FE Sectorial'!L65/1000/1000</f>
        <v>16.951840000000001</v>
      </c>
      <c r="L66" s="17">
        <f>'Datos Actividad'!$P62*'FE Sectorial'!$H65*'FE Sectorial'!M65/1000/1000</f>
        <v>0.84759200000000001</v>
      </c>
      <c r="M66" s="17">
        <f>'Datos Actividad'!$P62*'FE Sectorial'!$H65*'FE Sectorial'!N65/1000/1000</f>
        <v>0.42379600000000001</v>
      </c>
      <c r="N66" s="17">
        <f>'Datos Actividad'!$P62*'FE Sectorial'!$H65*'FE Sectorial'!O65/1000/1000</f>
        <v>16.783999999999999</v>
      </c>
      <c r="O66" s="87">
        <f>IF(D66&lt;400,H66+I66*'Factores generales'!$M$41+J66*'Factores generales'!$N$41,I66*'Factores generales'!$M$41+J66*'Factores generales'!$N$41)</f>
        <v>6515.8634999999995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Actividad'!$P63*'FE Sectorial'!$H66*'FE Sectorial'!I66*'FE Sectorial'!P66/1000</f>
        <v>3920800.7017999999</v>
      </c>
      <c r="I67" s="17">
        <f>'Datos Actividad'!$P63*'FE Sectorial'!$H66*'FE Sectorial'!J66/1000/1000</f>
        <v>1352.0002419999998</v>
      </c>
      <c r="J67" s="17">
        <f>'Datos Actividad'!$P63*'FE Sectorial'!$H66*'FE Sectorial'!K66/1000/1000</f>
        <v>180.26669893333332</v>
      </c>
      <c r="K67" s="17">
        <f>'Datos Actividad'!$P63*'FE Sectorial'!$H66*'FE Sectorial'!L66/1000/1000</f>
        <v>4506.667473333333</v>
      </c>
      <c r="L67" s="17">
        <f>'Datos Actividad'!$P63*'FE Sectorial'!$H66*'FE Sectorial'!M66/1000/1000</f>
        <v>180266.6989333333</v>
      </c>
      <c r="M67" s="17">
        <f>'Datos Actividad'!$P63*'FE Sectorial'!$H66*'FE Sectorial'!N66/1000/1000</f>
        <v>2253.3337366666665</v>
      </c>
      <c r="N67" s="17">
        <f>'Datos Actividad'!$P63*'FE Sectorial'!$H66*'FE Sectorial'!O66/1000/1000</f>
        <v>0</v>
      </c>
      <c r="O67" s="87">
        <f>IF(D67&lt;400,H67+I67*'Factores generales'!$M$41+J67*'Factores generales'!$N$41,I67*'Factores generales'!$M$41+J67*'Factores generales'!$N$41)</f>
        <v>84274.681751333323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Actividad'!$P64*'FE Sectorial'!$H67*'FE Sectorial'!I67*'FE Sectorial'!P67/1000</f>
        <v>4864.2048000000004</v>
      </c>
      <c r="I68" s="17">
        <f>'Datos Actividad'!$P64*'FE Sectorial'!$H67*'FE Sectorial'!J67/1000/1000</f>
        <v>1.4976</v>
      </c>
      <c r="J68" s="17">
        <f>'Datos Actividad'!$P64*'FE Sectorial'!$H67*'FE Sectorial'!K67/1000/1000</f>
        <v>0.19968000000000002</v>
      </c>
      <c r="K68" s="17">
        <f>'Datos Actividad'!$P64*'FE Sectorial'!$H67*'FE Sectorial'!L67/1000/1000</f>
        <v>4.9920000000000009</v>
      </c>
      <c r="L68" s="17">
        <f>'Datos Actividad'!$P64*'FE Sectorial'!$H67*'FE Sectorial'!M67/1000/1000</f>
        <v>99.840000000000018</v>
      </c>
      <c r="M68" s="17">
        <f>'Datos Actividad'!$P64*'FE Sectorial'!$H67*'FE Sectorial'!N67/1000/1000</f>
        <v>2.4960000000000004</v>
      </c>
      <c r="N68" s="17">
        <f>'Datos Actividad'!$P64*'FE Sectorial'!$H67*'FE Sectorial'!O67/1000/1000</f>
        <v>12.800000000000002</v>
      </c>
      <c r="O68" s="87">
        <f>IF(D68&lt;400,H68+I68*'Factores generales'!$M$41+J68*'Factores generales'!$N$41,I68*'Factores generales'!$M$41+J68*'Factores generales'!$N$41)</f>
        <v>93.350400000000008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Actividad'!$P65*'FE Sectorial'!$H68*'FE Sectorial'!I68*'FE Sectorial'!P68/1000</f>
        <v>310436.02980469901</v>
      </c>
      <c r="I69" s="17">
        <f>'Datos Actividad'!$P65*'FE Sectorial'!$H68*'FE Sectorial'!J68/1000/1000</f>
        <v>107.04690682920653</v>
      </c>
      <c r="J69" s="17">
        <f>'Datos Actividad'!$P65*'FE Sectorial'!$H68*'FE Sectorial'!K68/1000/1000</f>
        <v>14.272920910560872</v>
      </c>
      <c r="K69" s="17">
        <f>'Datos Actividad'!$P65*'FE Sectorial'!$H68*'FE Sectorial'!L68/1000/1000</f>
        <v>356.8230227640218</v>
      </c>
      <c r="L69" s="17">
        <f>'Datos Actividad'!$P65*'FE Sectorial'!$H68*'FE Sectorial'!M68/1000/1000</f>
        <v>14272.920910560872</v>
      </c>
      <c r="M69" s="17">
        <f>'Datos Actividad'!$P65*'FE Sectorial'!$H68*'FE Sectorial'!N68/1000/1000</f>
        <v>178.4115113820109</v>
      </c>
      <c r="N69" s="17">
        <f>'Datos Actividad'!$P65*'FE Sectorial'!$H68*'FE Sectorial'!O68/1000/1000</f>
        <v>0</v>
      </c>
      <c r="O69" s="87">
        <f>IF(D69&lt;400,H69+I69*'Factores generales'!$M$41+J69*'Factores generales'!$N$41,I69*'Factores generales'!$M$41+J69*'Factores generales'!$N$41)</f>
        <v>6672.5905256872084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7520630.0988305975</v>
      </c>
      <c r="I70" s="134">
        <f t="shared" si="16"/>
        <v>488.35281317784506</v>
      </c>
      <c r="J70" s="134">
        <f t="shared" si="16"/>
        <v>67.404986440088877</v>
      </c>
      <c r="K70" s="134">
        <f t="shared" si="16"/>
        <v>21172.61878633318</v>
      </c>
      <c r="L70" s="134">
        <f t="shared" si="16"/>
        <v>31406.324338110349</v>
      </c>
      <c r="M70" s="134">
        <f t="shared" si="16"/>
        <v>1222.5436705875804</v>
      </c>
      <c r="N70" s="134">
        <f t="shared" si="16"/>
        <v>4582.6368092281828</v>
      </c>
      <c r="O70" s="134">
        <f t="shared" si="16"/>
        <v>7551781.0537037607</v>
      </c>
    </row>
    <row r="71" spans="1:15" outlineLevel="1" x14ac:dyDescent="0.25">
      <c r="B71" s="1" t="s">
        <v>36</v>
      </c>
      <c r="G71" s="1"/>
      <c r="H71" s="15">
        <f>H72+H73+H74+H76</f>
        <v>1748300.4744981676</v>
      </c>
      <c r="I71" s="15">
        <f>SUM(I72:I76)</f>
        <v>239.33142071207325</v>
      </c>
      <c r="J71" s="15">
        <f t="shared" ref="J71:O71" si="17">SUM(J72:J76)</f>
        <v>34.099621243518541</v>
      </c>
      <c r="K71" s="15">
        <f t="shared" si="17"/>
        <v>5494.7593533784902</v>
      </c>
      <c r="L71" s="15">
        <f t="shared" si="17"/>
        <v>15134.647717746637</v>
      </c>
      <c r="M71" s="15">
        <f t="shared" si="17"/>
        <v>531.799588434508</v>
      </c>
      <c r="N71" s="15">
        <f t="shared" si="17"/>
        <v>1792.195107826087</v>
      </c>
      <c r="O71" s="15">
        <f t="shared" si="17"/>
        <v>1763897.3169186122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Actividad'!$P68*'FE Sectorial'!$H71*'FE Sectorial'!I71*'FE Sectorial'!P71/1000</f>
        <v>1529940.2449185362</v>
      </c>
      <c r="I72" s="17">
        <f>'Datos Actividad'!$P68*'FE Sectorial'!$H71*'FE Sectorial'!J71/1000/1000</f>
        <v>27.408705648000002</v>
      </c>
      <c r="J72" s="17">
        <f>'Datos Actividad'!$P68*'FE Sectorial'!$H71*'FE Sectorial'!K71/1000/1000</f>
        <v>2.7408705648000007</v>
      </c>
      <c r="K72" s="17">
        <f>'Datos Actividad'!$P68*'FE Sectorial'!$H71*'FE Sectorial'!L71/1000/1000</f>
        <v>4111.3058472000002</v>
      </c>
      <c r="L72" s="17">
        <f>'Datos Actividad'!$P68*'FE Sectorial'!$H71*'FE Sectorial'!M71/1000/1000</f>
        <v>822.26116944000012</v>
      </c>
      <c r="M72" s="17">
        <f>'Datos Actividad'!$P68*'FE Sectorial'!$H71*'FE Sectorial'!N71/1000/1000</f>
        <v>137.04352824</v>
      </c>
      <c r="N72" s="17">
        <f>'Datos Actividad'!$P68*'FE Sectorial'!$H71*'FE Sectorial'!O71/1000/1000</f>
        <v>0</v>
      </c>
      <c r="O72" s="87">
        <f>IF(D72&lt;400,H72+I72*'Factores generales'!$M$41+J72*'Factores generales'!$N$41,I72*'Factores generales'!$M$41+J72*'Factores generales'!$N$41)</f>
        <v>1531365.4976122321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Actividad'!$P69*'FE Sectorial'!$H72*'FE Sectorial'!I72*'FE Sectorial'!P72/1000</f>
        <v>1801.1835269999997</v>
      </c>
      <c r="I73" s="17">
        <f>'Datos Actividad'!$P69*'FE Sectorial'!$H72*'FE Sectorial'!J72/1000/1000</f>
        <v>7.3659000000000002E-2</v>
      </c>
      <c r="J73" s="17">
        <f>'Datos Actividad'!$P69*'FE Sectorial'!$H72*'FE Sectorial'!K72/1000/1000</f>
        <v>1.47318E-2</v>
      </c>
      <c r="K73" s="17">
        <f>'Datos Actividad'!$P69*'FE Sectorial'!$H72*'FE Sectorial'!L72/1000/1000</f>
        <v>4.9106000000000005</v>
      </c>
      <c r="L73" s="17">
        <f>'Datos Actividad'!$P69*'FE Sectorial'!$H72*'FE Sectorial'!M72/1000/1000</f>
        <v>0.24553</v>
      </c>
      <c r="M73" s="17">
        <f>'Datos Actividad'!$P69*'FE Sectorial'!$H72*'FE Sectorial'!N72/1000/1000</f>
        <v>0.122765</v>
      </c>
      <c r="N73" s="17">
        <f>'Datos Actividad'!$P69*'FE Sectorial'!$H72*'FE Sectorial'!O72/1000/1000</f>
        <v>0.89076</v>
      </c>
      <c r="O73" s="87">
        <f>IF(D73&lt;400,H73+I73*'Factores generales'!$M$41+J73*'Factores generales'!$N$41,I73*'Factores generales'!$M$41+J73*'Factores generales'!$N$41)</f>
        <v>1807.2972239999997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Actividad'!$P70*'FE Sectorial'!$H73*'FE Sectorial'!I73*'FE Sectorial'!P73/1000</f>
        <v>216559.04605263157</v>
      </c>
      <c r="I74" s="17">
        <f>'Datos Actividad'!$P70*'FE Sectorial'!$H73*'FE Sectorial'!J73/1000/1000</f>
        <v>2.2664473684210527</v>
      </c>
      <c r="J74" s="17">
        <f>'Datos Actividad'!$P70*'FE Sectorial'!$H73*'FE Sectorial'!K73/1000/1000</f>
        <v>3.3996710526315792</v>
      </c>
      <c r="K74" s="17">
        <f>'Datos Actividad'!$P70*'FE Sectorial'!$H73*'FE Sectorial'!L73/1000/1000</f>
        <v>679.93421052631584</v>
      </c>
      <c r="L74" s="17">
        <f>'Datos Actividad'!$P70*'FE Sectorial'!$H73*'FE Sectorial'!M73/1000/1000</f>
        <v>339.96710526315792</v>
      </c>
      <c r="M74" s="17">
        <f>'Datos Actividad'!$P70*'FE Sectorial'!$H73*'FE Sectorial'!N73/1000/1000</f>
        <v>45.328947368421048</v>
      </c>
      <c r="N74" s="17">
        <f>'Datos Actividad'!$P70*'FE Sectorial'!$H73*'FE Sectorial'!O73/1000/1000</f>
        <v>0</v>
      </c>
      <c r="O74" s="87">
        <f>IF(D74&lt;400,H74+I74*'Factores generales'!$M$41+J74*'Factores generales'!$N$41,I74*'Factores generales'!$M$41+J74*'Factores generales'!$N$41)</f>
        <v>217660.53947368421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Actividad'!$P71*'FE Sectorial'!$H74*'FE Sectorial'!I74*'FE Sectorial'!P74/1000</f>
        <v>680724.31304347829</v>
      </c>
      <c r="I75" s="17">
        <f>'Datos Actividad'!$P71*'FE Sectorial'!$H74*'FE Sectorial'!J74/1000/1000</f>
        <v>209.5826086956522</v>
      </c>
      <c r="J75" s="17">
        <f>'Datos Actividad'!$P71*'FE Sectorial'!$H74*'FE Sectorial'!K74/1000/1000</f>
        <v>27.944347826086958</v>
      </c>
      <c r="K75" s="17">
        <f>'Datos Actividad'!$P71*'FE Sectorial'!$H74*'FE Sectorial'!L74/1000/1000</f>
        <v>698.60869565217388</v>
      </c>
      <c r="L75" s="17">
        <f>'Datos Actividad'!$P71*'FE Sectorial'!$H74*'FE Sectorial'!M74/1000/1000</f>
        <v>13972.173913043478</v>
      </c>
      <c r="M75" s="17">
        <f>'Datos Actividad'!$P71*'FE Sectorial'!$H74*'FE Sectorial'!N74/1000/1000</f>
        <v>349.30434782608694</v>
      </c>
      <c r="N75" s="17">
        <f>'Datos Actividad'!$P71*'FE Sectorial'!$H74*'FE Sectorial'!O74/1000/1000</f>
        <v>1791.304347826087</v>
      </c>
      <c r="O75" s="87">
        <f>IF(D75&lt;400,H75+I75*'Factores generales'!$M$41+J75*'Factores generales'!$N$41,I75*'Factores generales'!$M$41+J75*'Factores generales'!$N$41)</f>
        <v>13063.982608695653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Actividad'!$P72*'FE Sectorial'!$H75*'FE Sectorial'!I75*'FE Sectorial'!P75/1000</f>
        <v>0</v>
      </c>
      <c r="I76" s="17">
        <f>'Datos Actividad'!$P72*'FE Sectorial'!$H75*'FE Sectorial'!J75/1000/1000</f>
        <v>0</v>
      </c>
      <c r="J76" s="17">
        <f>'Datos Actividad'!$P72*'FE Sectorial'!$H75*'FE Sectorial'!K75/1000/1000</f>
        <v>0</v>
      </c>
      <c r="K76" s="17">
        <f>'Datos Actividad'!$P72*'FE Sectorial'!$H75*'FE Sectorial'!L75/1000/1000</f>
        <v>0</v>
      </c>
      <c r="L76" s="17">
        <f>'Datos Actividad'!$P72*'FE Sectorial'!$H75*'FE Sectorial'!M75/1000/1000</f>
        <v>0</v>
      </c>
      <c r="M76" s="17">
        <f>'Datos Actividad'!$P72*'FE Sectorial'!$H75*'FE Sectorial'!N75/1000/1000</f>
        <v>0</v>
      </c>
      <c r="N76" s="17">
        <f>'Datos Actividad'!$P72*'FE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77202.232234776005</v>
      </c>
      <c r="I77" s="15">
        <f t="shared" si="18"/>
        <v>1.3846639679999999</v>
      </c>
      <c r="J77" s="15">
        <f t="shared" si="18"/>
        <v>0.13875019680000003</v>
      </c>
      <c r="K77" s="15">
        <f t="shared" si="18"/>
        <v>207.46309520000003</v>
      </c>
      <c r="L77" s="15">
        <f t="shared" si="18"/>
        <v>41.464239040000002</v>
      </c>
      <c r="M77" s="15">
        <f t="shared" si="18"/>
        <v>6.9138598400000006</v>
      </c>
      <c r="N77" s="15">
        <f t="shared" si="18"/>
        <v>3.4320000000000003E-2</v>
      </c>
      <c r="O77" s="15">
        <f t="shared" si="18"/>
        <v>77274.322739112002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Actividad'!$P74*'FE Sectorial'!$H77*'FE Sectorial'!I77*'FE Sectorial'!P77/1000</f>
        <v>77132.834620776004</v>
      </c>
      <c r="I78" s="17">
        <f>'Datos Actividad'!$P74*'FE Sectorial'!$H77*'FE Sectorial'!J77/1000/1000</f>
        <v>1.381825968</v>
      </c>
      <c r="J78" s="17">
        <f>'Datos Actividad'!$P74*'FE Sectorial'!$H77*'FE Sectorial'!K77/1000/1000</f>
        <v>0.13818259680000003</v>
      </c>
      <c r="K78" s="17">
        <f>'Datos Actividad'!$P74*'FE Sectorial'!$H77*'FE Sectorial'!L77/1000/1000</f>
        <v>207.27389520000003</v>
      </c>
      <c r="L78" s="17">
        <f>'Datos Actividad'!$P74*'FE Sectorial'!$H77*'FE Sectorial'!M77/1000/1000</f>
        <v>41.454779040000005</v>
      </c>
      <c r="M78" s="17">
        <f>'Datos Actividad'!$P74*'FE Sectorial'!$H77*'FE Sectorial'!N77/1000/1000</f>
        <v>6.9091298400000003</v>
      </c>
      <c r="N78" s="17">
        <f>'Datos Actividad'!$P74*'FE Sectorial'!$H77*'FE Sectorial'!O77/1000/1000</f>
        <v>0</v>
      </c>
      <c r="O78" s="87">
        <f>IF(D78&lt;400,H78+I78*'Factores generales'!$M$41+J78*'Factores generales'!$N$41,I78*'Factores generales'!$M$41+J78*'Factores generales'!$N$41)</f>
        <v>77204.689571112001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Actividad'!$P75*'FE Sectorial'!$H78*'FE Sectorial'!I78*'FE Sectorial'!P78/1000</f>
        <v>69.39761399999999</v>
      </c>
      <c r="I79" s="17">
        <f>'Datos Actividad'!$P75*'FE Sectorial'!$H78*'FE Sectorial'!J78/1000/1000</f>
        <v>2.8380000000000002E-3</v>
      </c>
      <c r="J79" s="17">
        <f>'Datos Actividad'!$P75*'FE Sectorial'!$H78*'FE Sectorial'!K78/1000/1000</f>
        <v>5.6760000000000003E-4</v>
      </c>
      <c r="K79" s="17">
        <f>'Datos Actividad'!$P75*'FE Sectorial'!$H78*'FE Sectorial'!L78/1000/1000</f>
        <v>0.18919999999999998</v>
      </c>
      <c r="L79" s="17">
        <f>'Datos Actividad'!$P75*'FE Sectorial'!$H78*'FE Sectorial'!M78/1000/1000</f>
        <v>9.4600000000000014E-3</v>
      </c>
      <c r="M79" s="17">
        <f>'Datos Actividad'!$P75*'FE Sectorial'!$H78*'FE Sectorial'!N78/1000/1000</f>
        <v>4.7300000000000007E-3</v>
      </c>
      <c r="N79" s="17">
        <f>'Datos Actividad'!$P75*'FE Sectorial'!$H78*'FE Sectorial'!O78/1000/1000</f>
        <v>3.4320000000000003E-2</v>
      </c>
      <c r="O79" s="87">
        <f>IF(D79&lt;400,H79+I79*'Factores generales'!$M$41+J79*'Factores generales'!$N$41,I79*'Factores generales'!$M$41+J79*'Factores generales'!$N$41)</f>
        <v>69.633167999999984</v>
      </c>
    </row>
    <row r="80" spans="1:15" outlineLevel="1" x14ac:dyDescent="0.25">
      <c r="B80" s="1" t="s">
        <v>37</v>
      </c>
      <c r="G80" s="1"/>
      <c r="H80" s="15">
        <f>SUM(H81:H83)</f>
        <v>75664.885371768018</v>
      </c>
      <c r="I80" s="15">
        <f>SUM(I81:I85)</f>
        <v>124.77043465320652</v>
      </c>
      <c r="J80" s="15">
        <f t="shared" ref="J80:O80" si="19">SUM(J81:J85)</f>
        <v>16.590873692960869</v>
      </c>
      <c r="K80" s="15">
        <f t="shared" si="19"/>
        <v>614.71219636402179</v>
      </c>
      <c r="L80" s="15">
        <f t="shared" si="19"/>
        <v>13687.986745280872</v>
      </c>
      <c r="M80" s="15">
        <f t="shared" si="19"/>
        <v>212.4691505020109</v>
      </c>
      <c r="N80" s="15">
        <f t="shared" si="19"/>
        <v>360</v>
      </c>
      <c r="O80" s="15">
        <f t="shared" si="19"/>
        <v>83428.235344303219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Actividad'!$P77*'FE Sectorial'!$H80*'FE Sectorial'!I80*'FE Sectorial'!P80/1000</f>
        <v>75664.885371768018</v>
      </c>
      <c r="I81" s="17">
        <f>'Datos Actividad'!$P77*'FE Sectorial'!$H80*'FE Sectorial'!J80/1000/1000</f>
        <v>1.3555278239999999</v>
      </c>
      <c r="J81" s="17">
        <f>'Datos Actividad'!$P77*'FE Sectorial'!$H80*'FE Sectorial'!K80/1000/1000</f>
        <v>0.13555278239999999</v>
      </c>
      <c r="K81" s="17">
        <f>'Datos Actividad'!$P77*'FE Sectorial'!$H80*'FE Sectorial'!L80/1000/1000</f>
        <v>203.32917359999999</v>
      </c>
      <c r="L81" s="17">
        <f>'Datos Actividad'!$P77*'FE Sectorial'!$H80*'FE Sectorial'!M80/1000/1000</f>
        <v>40.665834719999999</v>
      </c>
      <c r="M81" s="17">
        <f>'Datos Actividad'!$P77*'FE Sectorial'!$H80*'FE Sectorial'!N80/1000/1000</f>
        <v>6.7776391199999999</v>
      </c>
      <c r="N81" s="17">
        <f>'Datos Actividad'!$P77*'FE Sectorial'!$H80*'FE Sectorial'!O80/1000/1000</f>
        <v>0</v>
      </c>
      <c r="O81" s="87">
        <f>IF(D81&lt;400,H81+I81*'Factores generales'!$M$41+J81*'Factores generales'!$N$41,I81*'Factores generales'!$M$41+J81*'Factores generales'!$N$41)</f>
        <v>75735.372818616015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Actividad'!$P78*'FE Sectorial'!$H81*'FE Sectorial'!I81*'FE Sectorial'!P81/1000</f>
        <v>0</v>
      </c>
      <c r="I82" s="17">
        <f>'Datos Actividad'!$P78*'FE Sectorial'!$H81*'FE Sectorial'!J81/1000/1000</f>
        <v>0</v>
      </c>
      <c r="J82" s="17">
        <f>'Datos Actividad'!$P78*'FE Sectorial'!$H81*'FE Sectorial'!K81/1000/1000</f>
        <v>0</v>
      </c>
      <c r="K82" s="17">
        <f>'Datos Actividad'!$P78*'FE Sectorial'!$H81*'FE Sectorial'!L81/1000/1000</f>
        <v>0</v>
      </c>
      <c r="L82" s="17">
        <f>'Datos Actividad'!$P78*'FE Sectorial'!$H81*'FE Sectorial'!M81/1000/1000</f>
        <v>0</v>
      </c>
      <c r="M82" s="17">
        <f>'Datos Actividad'!$P78*'FE Sectorial'!$H81*'FE Sectorial'!N81/1000/1000</f>
        <v>0</v>
      </c>
      <c r="N82" s="17">
        <f>'Datos Actividad'!$P78*'FE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Actividad'!$P79*'FE Sectorial'!$H82*'FE Sectorial'!I82*'FE Sectorial'!P82/1000</f>
        <v>0</v>
      </c>
      <c r="I83" s="95">
        <f>'Datos Actividad'!$P79*'FE Sectorial'!$H82*'FE Sectorial'!J82/1000/1000</f>
        <v>0</v>
      </c>
      <c r="J83" s="17">
        <f>'Datos Actividad'!$P79*'FE Sectorial'!$H82*'FE Sectorial'!K82/1000/1000</f>
        <v>0</v>
      </c>
      <c r="K83" s="17">
        <f>'Datos Actividad'!$P79*'FE Sectorial'!$H82*'FE Sectorial'!L82/1000/1000</f>
        <v>0</v>
      </c>
      <c r="L83" s="17">
        <f>'Datos Actividad'!$P79*'FE Sectorial'!$H82*'FE Sectorial'!M82/1000/1000</f>
        <v>0</v>
      </c>
      <c r="M83" s="17">
        <f>'Datos Actividad'!$P79*'FE Sectorial'!$H82*'FE Sectorial'!N82/1000/1000</f>
        <v>0</v>
      </c>
      <c r="N83" s="17">
        <f>'Datos Actividad'!$P79*'FE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Actividad'!$P80*'FE Sectorial'!$H83*'FE Sectorial'!I83*'FE Sectorial'!P83/1000</f>
        <v>136805.76000000001</v>
      </c>
      <c r="I84" s="95">
        <f>'Datos Actividad'!$P80*'FE Sectorial'!$H83*'FE Sectorial'!J83/1000/1000</f>
        <v>42.12</v>
      </c>
      <c r="J84" s="17">
        <f>'Datos Actividad'!$P80*'FE Sectorial'!$H83*'FE Sectorial'!K83/1000/1000</f>
        <v>5.6159999999999997</v>
      </c>
      <c r="K84" s="17">
        <f>'Datos Actividad'!$P80*'FE Sectorial'!$H83*'FE Sectorial'!L83/1000/1000</f>
        <v>140.4</v>
      </c>
      <c r="L84" s="17">
        <f>'Datos Actividad'!$P80*'FE Sectorial'!$H83*'FE Sectorial'!M83/1000/1000</f>
        <v>2808</v>
      </c>
      <c r="M84" s="17">
        <f>'Datos Actividad'!$P80*'FE Sectorial'!$H83*'FE Sectorial'!N83/1000/1000</f>
        <v>70.2</v>
      </c>
      <c r="N84" s="17">
        <f>'Datos Actividad'!$P80*'FE Sectorial'!$H83*'FE Sectorial'!O83/1000/1000</f>
        <v>360</v>
      </c>
      <c r="O84" s="87">
        <f>IF(D84&lt;400,H84+I84*'Factores generales'!$M$41+J84*'Factores generales'!$N$41,I84*'Factores generales'!$M$41+J84*'Factores generales'!$N$41)</f>
        <v>2625.4799999999996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Actividad'!$P81*'FE Sectorial'!$H84*'FE Sectorial'!I84*'FE Sectorial'!P84/1000</f>
        <v>235755.2298046989</v>
      </c>
      <c r="I85" s="95">
        <f>'Datos Actividad'!$P81*'FE Sectorial'!$H84*'FE Sectorial'!J84/1000/1000</f>
        <v>81.294906829206525</v>
      </c>
      <c r="J85" s="17">
        <f>'Datos Actividad'!$P81*'FE Sectorial'!$H84*'FE Sectorial'!K84/1000/1000</f>
        <v>10.839320910560872</v>
      </c>
      <c r="K85" s="17">
        <f>'Datos Actividad'!$P81*'FE Sectorial'!$H84*'FE Sectorial'!L84/1000/1000</f>
        <v>270.98302276402177</v>
      </c>
      <c r="L85" s="17">
        <f>'Datos Actividad'!$P81*'FE Sectorial'!$H84*'FE Sectorial'!M84/1000/1000</f>
        <v>10839.320910560871</v>
      </c>
      <c r="M85" s="17">
        <f>'Datos Actividad'!$P81*'FE Sectorial'!$H84*'FE Sectorial'!N84/1000/1000</f>
        <v>135.49151138201088</v>
      </c>
      <c r="N85" s="17">
        <f>'Datos Actividad'!$P81*'FE Sectorial'!$H84*'FE Sectorial'!O84/1000/1000</f>
        <v>0</v>
      </c>
      <c r="O85" s="87">
        <f>IF(D85&lt;400,H85+I85*'Factores generales'!$M$41+J85*'Factores generales'!$N$41,I85*'Factores generales'!$M$41+J85*'Factores generales'!$N$41)</f>
        <v>5067.3825256872078</v>
      </c>
    </row>
    <row r="86" spans="2:15" outlineLevel="1" x14ac:dyDescent="0.25">
      <c r="B86" s="1" t="s">
        <v>38</v>
      </c>
      <c r="G86" s="1"/>
      <c r="H86" s="15">
        <f>H87+H88</f>
        <v>201075.59914199999</v>
      </c>
      <c r="I86" s="15">
        <f>I87+I88+I89</f>
        <v>3.602319</v>
      </c>
      <c r="J86" s="15">
        <f t="shared" ref="J86:O86" si="20">J87+J88+J89</f>
        <v>0.36024480000000003</v>
      </c>
      <c r="K86" s="15">
        <f t="shared" si="20"/>
        <v>540.33709999999996</v>
      </c>
      <c r="L86" s="15">
        <f t="shared" si="20"/>
        <v>108.06612999999999</v>
      </c>
      <c r="M86" s="15">
        <f t="shared" si="20"/>
        <v>18.011165000000002</v>
      </c>
      <c r="N86" s="15">
        <f t="shared" si="20"/>
        <v>1.56E-3</v>
      </c>
      <c r="O86" s="15">
        <f t="shared" si="20"/>
        <v>201262.923729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Actividad'!$P83*'FE Sectorial'!$H86*'FE Sectorial'!I86*'FE Sectorial'!P86/1000</f>
        <v>201072.444705</v>
      </c>
      <c r="I87" s="17">
        <f>'Datos Actividad'!$P83*'FE Sectorial'!$H86*'FE Sectorial'!J86/1000/1000</f>
        <v>3.6021900000000002</v>
      </c>
      <c r="J87" s="17">
        <f>'Datos Actividad'!$P83*'FE Sectorial'!$H86*'FE Sectorial'!K86/1000/1000</f>
        <v>0.36021900000000001</v>
      </c>
      <c r="K87" s="17">
        <f>'Datos Actividad'!$P83*'FE Sectorial'!$H86*'FE Sectorial'!L86/1000/1000</f>
        <v>540.32849999999996</v>
      </c>
      <c r="L87" s="17">
        <f>'Datos Actividad'!$P83*'FE Sectorial'!$H86*'FE Sectorial'!M86/1000/1000</f>
        <v>108.06569999999999</v>
      </c>
      <c r="M87" s="17">
        <f>'Datos Actividad'!$P83*'FE Sectorial'!$H86*'FE Sectorial'!N86/1000/1000</f>
        <v>18.010950000000001</v>
      </c>
      <c r="N87" s="17">
        <f>'Datos Actividad'!$P83*'FE Sectorial'!$H86*'FE Sectorial'!O86/1000/1000</f>
        <v>0</v>
      </c>
      <c r="O87" s="87">
        <f>IF(D87&lt;400,H87+I87*'Factores generales'!$M$41+J87*'Factores generales'!$N$41,I87*'Factores generales'!$M$41+J87*'Factores generales'!$N$41)</f>
        <v>201259.758585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Actividad'!$P84*'FE Sectorial'!$H87*'FE Sectorial'!I87*'FE Sectorial'!P87/1000</f>
        <v>3.1544369999999997</v>
      </c>
      <c r="I88" s="17">
        <f>'Datos Actividad'!$P84*'FE Sectorial'!$H87*'FE Sectorial'!J87/1000/1000</f>
        <v>1.2899999999999999E-4</v>
      </c>
      <c r="J88" s="17">
        <f>'Datos Actividad'!$P84*'FE Sectorial'!$H87*'FE Sectorial'!K87/1000/1000</f>
        <v>2.58E-5</v>
      </c>
      <c r="K88" s="17">
        <f>'Datos Actividad'!$P84*'FE Sectorial'!$H87*'FE Sectorial'!L87/1000/1000</f>
        <v>8.6E-3</v>
      </c>
      <c r="L88" s="17">
        <f>'Datos Actividad'!$P84*'FE Sectorial'!$H87*'FE Sectorial'!M87/1000/1000</f>
        <v>4.2999999999999999E-4</v>
      </c>
      <c r="M88" s="17">
        <f>'Datos Actividad'!$P84*'FE Sectorial'!$H87*'FE Sectorial'!N87/1000/1000</f>
        <v>2.1499999999999999E-4</v>
      </c>
      <c r="N88" s="17">
        <f>'Datos Actividad'!$P84*'FE Sectorial'!$H87*'FE Sectorial'!O87/1000/1000</f>
        <v>1.56E-3</v>
      </c>
      <c r="O88" s="87">
        <f>IF(D88&lt;400,H88+I88*'Factores generales'!$M$41+J88*'Factores generales'!$N$41,I88*'Factores generales'!$M$41+J88*'Factores generales'!$N$41)</f>
        <v>3.1651439999999997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Actividad'!$P85*'FE Sectorial'!$H88*'FE Sectorial'!I88*'FE Sectorial'!P88/1000</f>
        <v>0</v>
      </c>
      <c r="I89" s="95">
        <f>'Datos Actividad'!$P85*'FE Sectorial'!$H88*'FE Sectorial'!J88/1000/1000</f>
        <v>0</v>
      </c>
      <c r="J89" s="17">
        <f>'Datos Actividad'!$P85*'FE Sectorial'!$H88*'FE Sectorial'!K88/1000/1000</f>
        <v>0</v>
      </c>
      <c r="K89" s="17">
        <f>'Datos Actividad'!$P85*'FE Sectorial'!$H88*'FE Sectorial'!L88/1000/1000</f>
        <v>0</v>
      </c>
      <c r="L89" s="17">
        <f>'Datos Actividad'!$P85*'FE Sectorial'!$H88*'FE Sectorial'!M88/1000/1000</f>
        <v>0</v>
      </c>
      <c r="M89" s="17">
        <f>'Datos Actividad'!$P85*'FE Sectorial'!$H88*'FE Sectorial'!N88/1000/1000</f>
        <v>0</v>
      </c>
      <c r="N89" s="17">
        <f>'Datos Actividad'!$P85*'FE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3706642.1380148609</v>
      </c>
      <c r="I90" s="15">
        <f t="shared" si="21"/>
        <v>66.864139034734464</v>
      </c>
      <c r="J90" s="15">
        <f t="shared" si="21"/>
        <v>6.7692870434734482</v>
      </c>
      <c r="K90" s="15">
        <f t="shared" si="21"/>
        <v>9960.5599052101716</v>
      </c>
      <c r="L90" s="15">
        <f t="shared" si="21"/>
        <v>1983.8246670420342</v>
      </c>
      <c r="M90" s="15">
        <f t="shared" si="21"/>
        <v>331.55825717367242</v>
      </c>
      <c r="N90" s="15">
        <f t="shared" si="21"/>
        <v>25.553959999999996</v>
      </c>
      <c r="O90" s="15">
        <f t="shared" si="21"/>
        <v>3710144.7639180673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Actividad'!$P87*'FE Sectorial'!$H90*'FE Sectorial'!I90*'FE Sectorial'!P90/1000</f>
        <v>3686063.4364670608</v>
      </c>
      <c r="I91" s="17">
        <f>'Datos Actividad'!$P87*'FE Sectorial'!$H90*'FE Sectorial'!J90/1000/1000</f>
        <v>66.035407634734469</v>
      </c>
      <c r="J91" s="17">
        <f>'Datos Actividad'!$P87*'FE Sectorial'!$H90*'FE Sectorial'!K90/1000/1000</f>
        <v>6.6035407634734478</v>
      </c>
      <c r="K91" s="17">
        <f>'Datos Actividad'!$P87*'FE Sectorial'!$H90*'FE Sectorial'!L90/1000/1000</f>
        <v>9905.3111452101712</v>
      </c>
      <c r="L91" s="17">
        <f>'Datos Actividad'!$P87*'FE Sectorial'!$H90*'FE Sectorial'!M90/1000/1000</f>
        <v>1981.0622290420342</v>
      </c>
      <c r="M91" s="17">
        <f>'Datos Actividad'!$P87*'FE Sectorial'!$H90*'FE Sectorial'!N90/1000/1000</f>
        <v>330.17703817367237</v>
      </c>
      <c r="N91" s="17">
        <f>'Datos Actividad'!$P87*'FE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3689497.2776640672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Actividad'!$P88*'FE Sectorial'!$H91*'FE Sectorial'!I91*'FE Sectorial'!P91/1000</f>
        <v>13220.245466999999</v>
      </c>
      <c r="I92" s="17">
        <f>'Datos Actividad'!$P88*'FE Sectorial'!$H91*'FE Sectorial'!J91/1000/1000</f>
        <v>0.54063899999999998</v>
      </c>
      <c r="J92" s="17">
        <f>'Datos Actividad'!$P88*'FE Sectorial'!$H91*'FE Sectorial'!K91/1000/1000</f>
        <v>0.10812780000000001</v>
      </c>
      <c r="K92" s="17">
        <f>'Datos Actividad'!$P88*'FE Sectorial'!$H91*'FE Sectorial'!L91/1000/1000</f>
        <v>36.0426</v>
      </c>
      <c r="L92" s="17">
        <f>'Datos Actividad'!$P88*'FE Sectorial'!$H91*'FE Sectorial'!M91/1000/1000</f>
        <v>1.80213</v>
      </c>
      <c r="M92" s="17">
        <f>'Datos Actividad'!$P88*'FE Sectorial'!$H91*'FE Sectorial'!N91/1000/1000</f>
        <v>0.901065</v>
      </c>
      <c r="N92" s="17">
        <f>'Datos Actividad'!$P88*'FE Sectorial'!$H91*'FE Sectorial'!O91/1000/1000</f>
        <v>6.53796</v>
      </c>
      <c r="O92" s="87">
        <f>IF(D92&lt;400,H92+I92*'Factores generales'!$M$41+J92*'Factores generales'!$N$41,I92*'Factores generales'!$M$41+J92*'Factores generales'!$N$41)</f>
        <v>13265.118503999998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Actividad'!$P89*'FE Sectorial'!$H92*'FE Sectorial'!I92*'FE Sectorial'!P92/1000</f>
        <v>7358.4560808000006</v>
      </c>
      <c r="I93" s="17">
        <f>'Datos Actividad'!$P89*'FE Sectorial'!$H92*'FE Sectorial'!J92/1000/1000</f>
        <v>0.28809239999999997</v>
      </c>
      <c r="J93" s="17">
        <f>'Datos Actividad'!$P89*'FE Sectorial'!$H92*'FE Sectorial'!K92/1000/1000</f>
        <v>5.7618480000000007E-2</v>
      </c>
      <c r="K93" s="17">
        <f>'Datos Actividad'!$P89*'FE Sectorial'!$H92*'FE Sectorial'!L92/1000/1000</f>
        <v>19.206160000000001</v>
      </c>
      <c r="L93" s="17">
        <f>'Datos Actividad'!$P89*'FE Sectorial'!$H92*'FE Sectorial'!M92/1000/1000</f>
        <v>0.96030799999999994</v>
      </c>
      <c r="M93" s="17">
        <f>'Datos Actividad'!$P89*'FE Sectorial'!$H92*'FE Sectorial'!N92/1000/1000</f>
        <v>0.48015399999999997</v>
      </c>
      <c r="N93" s="17">
        <f>'Datos Actividad'!$P89*'FE Sectorial'!$H92*'FE Sectorial'!O92/1000/1000</f>
        <v>19.015999999999998</v>
      </c>
      <c r="O93" s="87">
        <f>IF(D93&lt;400,H93+I93*'Factores generales'!$M$41+J93*'Factores generales'!$N$41,I93*'Factores generales'!$M$41+J93*'Factores generales'!$N$41)</f>
        <v>7382.3677500000003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1711744.7695690249</v>
      </c>
      <c r="I94" s="15">
        <f t="shared" ref="I94:O94" si="22">SUM(I95:I100)</f>
        <v>52.399835809830783</v>
      </c>
      <c r="J94" s="15">
        <f t="shared" si="22"/>
        <v>9.4462094633360199</v>
      </c>
      <c r="K94" s="15">
        <f t="shared" si="22"/>
        <v>4354.7871361804991</v>
      </c>
      <c r="L94" s="15">
        <f t="shared" si="22"/>
        <v>450.33483900080574</v>
      </c>
      <c r="M94" s="15">
        <f t="shared" si="22"/>
        <v>121.79164963738921</v>
      </c>
      <c r="N94" s="15">
        <f t="shared" si="22"/>
        <v>2404.851861402095</v>
      </c>
      <c r="O94" s="15">
        <f t="shared" si="22"/>
        <v>1715773.4910546658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Actividad'!$P91*'FE Sectorial'!$H94*'FE Sectorial'!I94*'FE Sectorial'!P94/1000</f>
        <v>0</v>
      </c>
      <c r="I95" s="17">
        <f>'Datos Actividad'!$P91*'FE Sectorial'!$H94*'FE Sectorial'!J94/1000/1000</f>
        <v>0</v>
      </c>
      <c r="J95" s="17">
        <f>'Datos Actividad'!$P91*'FE Sectorial'!$H94*'FE Sectorial'!K94/1000/1000</f>
        <v>0</v>
      </c>
      <c r="K95" s="17">
        <f>'Datos Actividad'!$P91*'FE Sectorial'!$H94*'FE Sectorial'!L94/1000/1000</f>
        <v>0</v>
      </c>
      <c r="L95" s="17">
        <f>'Datos Actividad'!$P91*'FE Sectorial'!$H94*'FE Sectorial'!M94/1000/1000</f>
        <v>0</v>
      </c>
      <c r="M95" s="17">
        <f>'Datos Actividad'!$P91*'FE Sectorial'!$H94*'FE Sectorial'!N94/1000/1000</f>
        <v>0</v>
      </c>
      <c r="N95" s="17">
        <f>'Datos Actividad'!$P91*'FE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Actividad'!$P92*'FE Sectorial'!$H95*'FE Sectorial'!I95*'FE Sectorial'!P95/1000</f>
        <v>645778.09675726015</v>
      </c>
      <c r="I96" s="17">
        <f>'Datos Actividad'!$P92*'FE Sectorial'!$H95*'FE Sectorial'!J95/1000/1000</f>
        <v>10.337576986301368</v>
      </c>
      <c r="J96" s="17">
        <f>'Datos Actividad'!$P92*'FE Sectorial'!$H95*'FE Sectorial'!K95/1000/1000</f>
        <v>1.0337576986301369</v>
      </c>
      <c r="K96" s="17">
        <f>'Datos Actividad'!$P92*'FE Sectorial'!$H95*'FE Sectorial'!L95/1000/1000</f>
        <v>1550.6365479452052</v>
      </c>
      <c r="L96" s="17">
        <f>'Datos Actividad'!$P92*'FE Sectorial'!$H95*'FE Sectorial'!M95/1000/1000</f>
        <v>310.12730958904103</v>
      </c>
      <c r="M96" s="17">
        <f>'Datos Actividad'!$P92*'FE Sectorial'!$H95*'FE Sectorial'!N95/1000/1000</f>
        <v>51.687884931506844</v>
      </c>
      <c r="N96" s="17">
        <f>'Datos Actividad'!$P92*'FE Sectorial'!$H95*'FE Sectorial'!O95/1000/1000</f>
        <v>43.710684931506847</v>
      </c>
      <c r="O96" s="87">
        <f>IF(D96&lt;400,H96+I96*'Factores generales'!$M$41+J96*'Factores generales'!$N$41,I96*'Factores generales'!$M$41+J96*'Factores generales'!$N$41)</f>
        <v>646315.65076054784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Actividad'!$P93*'FE Sectorial'!$H96*'FE Sectorial'!I96*'FE Sectorial'!P96/1000</f>
        <v>188338.44441176477</v>
      </c>
      <c r="I97" s="17">
        <f>'Datos Actividad'!$P93*'FE Sectorial'!$H96*'FE Sectorial'!J96/1000/1000</f>
        <v>7.7020588235294145</v>
      </c>
      <c r="J97" s="17">
        <f>'Datos Actividad'!$P93*'FE Sectorial'!$H96*'FE Sectorial'!K96/1000/1000</f>
        <v>1.540411764705883</v>
      </c>
      <c r="K97" s="17">
        <f>'Datos Actividad'!$P93*'FE Sectorial'!$H96*'FE Sectorial'!L96/1000/1000</f>
        <v>513.47058823529437</v>
      </c>
      <c r="L97" s="17">
        <f>'Datos Actividad'!$P93*'FE Sectorial'!$H96*'FE Sectorial'!M96/1000/1000</f>
        <v>25.673529411764719</v>
      </c>
      <c r="M97" s="17">
        <f>'Datos Actividad'!$P93*'FE Sectorial'!$H96*'FE Sectorial'!N96/1000/1000</f>
        <v>12.836764705882359</v>
      </c>
      <c r="N97" s="17">
        <f>'Datos Actividad'!$P93*'FE Sectorial'!$H96*'FE Sectorial'!O96/1000/1000</f>
        <v>93.141176470588277</v>
      </c>
      <c r="O97" s="87">
        <f>IF(D97&lt;400,H97+I97*'Factores generales'!$M$41+J97*'Factores generales'!$N$41,I97*'Factores generales'!$M$41+J97*'Factores generales'!$N$41)</f>
        <v>188977.71529411772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Actividad'!$P94*'FE Sectorial'!$H97*'FE Sectorial'!I97*'FE Sectorial'!P97/1000</f>
        <v>877628.22840000014</v>
      </c>
      <c r="I98" s="17">
        <f>'Datos Actividad'!$P94*'FE Sectorial'!$H97*'FE Sectorial'!J97/1000/1000</f>
        <v>34.360199999999999</v>
      </c>
      <c r="J98" s="17">
        <f>'Datos Actividad'!$P94*'FE Sectorial'!$H97*'FE Sectorial'!K97/1000/1000</f>
        <v>6.8720400000000001</v>
      </c>
      <c r="K98" s="17">
        <f>'Datos Actividad'!$P94*'FE Sectorial'!$H97*'FE Sectorial'!L97/1000/1000</f>
        <v>2290.6799999999998</v>
      </c>
      <c r="L98" s="17">
        <f>'Datos Actividad'!$P94*'FE Sectorial'!$H97*'FE Sectorial'!M97/1000/1000</f>
        <v>114.53400000000001</v>
      </c>
      <c r="M98" s="17">
        <f>'Datos Actividad'!$P94*'FE Sectorial'!$H97*'FE Sectorial'!N97/1000/1000</f>
        <v>57.267000000000003</v>
      </c>
      <c r="N98" s="17">
        <f>'Datos Actividad'!$P94*'FE Sectorial'!$H97*'FE Sectorial'!O97/1000/1000</f>
        <v>2268</v>
      </c>
      <c r="O98" s="87">
        <f>IF(D98&lt;400,H98+I98*'Factores generales'!$M$41+J98*'Factores generales'!$N$41,I98*'Factores generales'!$M$41+J98*'Factores generales'!$N$41)</f>
        <v>880480.12500000012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Actividad'!$P95*'FE Sectorial'!$H98*'FE Sectorial'!I98*'FE Sectorial'!P98/1000</f>
        <v>0</v>
      </c>
      <c r="I99" s="17">
        <f>'Datos Actividad'!$P95*'FE Sectorial'!$H98*'FE Sectorial'!J98/1000/1000</f>
        <v>0</v>
      </c>
      <c r="J99" s="17">
        <f>'Datos Actividad'!$P95*'FE Sectorial'!$H98*'FE Sectorial'!K98/1000/1000</f>
        <v>0</v>
      </c>
      <c r="K99" s="17">
        <f>'Datos Actividad'!$P95*'FE Sectorial'!$H98*'FE Sectorial'!L98/1000/1000</f>
        <v>0</v>
      </c>
      <c r="L99" s="17">
        <f>'Datos Actividad'!$P95*'FE Sectorial'!$H98*'FE Sectorial'!M98/1000/1000</f>
        <v>0</v>
      </c>
      <c r="M99" s="17">
        <f>'Datos Actividad'!$P95*'FE Sectorial'!$H98*'FE Sectorial'!N98/1000/1000</f>
        <v>0</v>
      </c>
      <c r="N99" s="17">
        <f>'Datos Actividad'!$P95*'FE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Actividad'!$P96*'FE Sectorial'!$H99*'FE Sectorial'!I99*'FE Sectorial'!P99/1000</f>
        <v>0</v>
      </c>
      <c r="I100" s="17">
        <f>'Datos Actividad'!$P96*'FE Sectorial'!$H99*'FE Sectorial'!J99/1000/1000</f>
        <v>0</v>
      </c>
      <c r="J100" s="17">
        <f>'Datos Actividad'!$P96*'FE Sectorial'!$H99*'FE Sectorial'!K99/1000/1000</f>
        <v>0</v>
      </c>
      <c r="K100" s="17">
        <f>'Datos Actividad'!$P96*'FE Sectorial'!$H99*'FE Sectorial'!L99/1000/1000</f>
        <v>0</v>
      </c>
      <c r="L100" s="17">
        <f>'Datos Actividad'!$P96*'FE Sectorial'!$H99*'FE Sectorial'!M99/1000/1000</f>
        <v>0</v>
      </c>
      <c r="M100" s="17">
        <f>'Datos Actividad'!$P96*'FE Sectorial'!$H99*'FE Sectorial'!N99/1000/1000</f>
        <v>0</v>
      </c>
      <c r="N100" s="17">
        <f>'Datos Actividad'!$P96*'FE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34394430.993653163</v>
      </c>
      <c r="I101" s="129">
        <f t="shared" si="23"/>
        <v>10715.350566850822</v>
      </c>
      <c r="J101" s="129">
        <f t="shared" si="23"/>
        <v>2309.3770065912818</v>
      </c>
      <c r="K101" s="129">
        <f t="shared" si="23"/>
        <v>335234.6833263904</v>
      </c>
      <c r="L101" s="129">
        <f t="shared" si="23"/>
        <v>1307028.1289895056</v>
      </c>
      <c r="M101" s="129">
        <f t="shared" si="23"/>
        <v>243848.66440680396</v>
      </c>
      <c r="N101" s="129">
        <f t="shared" si="23"/>
        <v>10850.428205419723</v>
      </c>
      <c r="O101" s="129">
        <f t="shared" si="23"/>
        <v>35335360.227600329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1041855.4827921242</v>
      </c>
      <c r="I102" s="134">
        <f t="shared" ref="I102:O102" si="24">I105</f>
        <v>7.3592956332000012</v>
      </c>
      <c r="J102" s="134">
        <f t="shared" si="24"/>
        <v>29.437182532800005</v>
      </c>
      <c r="K102" s="134">
        <f t="shared" si="24"/>
        <v>3679.6478166000006</v>
      </c>
      <c r="L102" s="134">
        <f t="shared" si="24"/>
        <v>1471.8591266400001</v>
      </c>
      <c r="M102" s="134">
        <f t="shared" si="24"/>
        <v>735.92956332000006</v>
      </c>
      <c r="N102" s="134">
        <f t="shared" si="24"/>
        <v>667.50980800000002</v>
      </c>
      <c r="O102" s="134">
        <f t="shared" si="24"/>
        <v>1051135.5545855893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1927620.425999268</v>
      </c>
      <c r="I103" s="15">
        <f t="shared" ref="I103:O103" si="25">I104</f>
        <v>13.616023352400001</v>
      </c>
      <c r="J103" s="15">
        <f t="shared" si="25"/>
        <v>54.464093409600004</v>
      </c>
      <c r="K103" s="15">
        <f t="shared" si="25"/>
        <v>6808.0116762000007</v>
      </c>
      <c r="L103" s="15">
        <f t="shared" si="25"/>
        <v>2723.20467048</v>
      </c>
      <c r="M103" s="15">
        <f t="shared" si="25"/>
        <v>1361.60233524</v>
      </c>
      <c r="N103" s="15">
        <f t="shared" si="25"/>
        <v>1235.0134559999999</v>
      </c>
      <c r="O103" s="15">
        <f t="shared" si="25"/>
        <v>1944790.2314466445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Actividad'!$P100*'FE Sectorial'!$H103*'FE Sectorial'!I103*'FE Sectorial'!P103/1000</f>
        <v>1927620.425999268</v>
      </c>
      <c r="I104" s="17">
        <f>'Datos Actividad'!$P100*'FE Sectorial'!$H103*'FE Sectorial'!J103/1000/1000</f>
        <v>13.616023352400001</v>
      </c>
      <c r="J104" s="17">
        <f>'Datos Actividad'!$P100*'FE Sectorial'!$H103*'FE Sectorial'!K103/1000/1000</f>
        <v>54.464093409600004</v>
      </c>
      <c r="K104" s="17">
        <f>'Datos Actividad'!$P100*'FE Sectorial'!$H103*'FE Sectorial'!L103/1000/1000</f>
        <v>6808.0116762000007</v>
      </c>
      <c r="L104" s="17">
        <f>'Datos Actividad'!$P100*'FE Sectorial'!$H103*'FE Sectorial'!M103/1000/1000</f>
        <v>2723.20467048</v>
      </c>
      <c r="M104" s="17">
        <f>'Datos Actividad'!$P100*'FE Sectorial'!$H103*'FE Sectorial'!N103/1000/1000</f>
        <v>1361.60233524</v>
      </c>
      <c r="N104" s="17">
        <f>'Datos Actividad'!$P100*'FE Sectorial'!$H103*'FE Sectorial'!O103/1000/1000</f>
        <v>1235.0134559999999</v>
      </c>
      <c r="O104" s="87">
        <f>IF(D104&lt;400,H104+I104*'Factores generales'!$M$41+J104*'Factores generales'!$N$41,I104*'Factores generales'!$M$41+J104*'Factores generales'!$N$41)</f>
        <v>1944790.2314466445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1041855.4827921242</v>
      </c>
      <c r="I105" s="15">
        <f t="shared" ref="I105:O105" si="26">I106</f>
        <v>7.3592956332000012</v>
      </c>
      <c r="J105" s="15">
        <f t="shared" si="26"/>
        <v>29.437182532800005</v>
      </c>
      <c r="K105" s="15">
        <f t="shared" si="26"/>
        <v>3679.6478166000006</v>
      </c>
      <c r="L105" s="15">
        <f t="shared" si="26"/>
        <v>1471.8591266400001</v>
      </c>
      <c r="M105" s="15">
        <f t="shared" si="26"/>
        <v>735.92956332000006</v>
      </c>
      <c r="N105" s="15">
        <f t="shared" si="26"/>
        <v>667.50980800000002</v>
      </c>
      <c r="O105" s="15">
        <f t="shared" si="26"/>
        <v>1051135.5545855893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Actividad'!$P102*'FE Sectorial'!$H105*'FE Sectorial'!I105*'FE Sectorial'!P105/1000</f>
        <v>1041855.4827921242</v>
      </c>
      <c r="I106" s="17">
        <f>'Datos Actividad'!$P102*'FE Sectorial'!$H105*'FE Sectorial'!J105/1000/1000</f>
        <v>7.3592956332000012</v>
      </c>
      <c r="J106" s="17">
        <f>'Datos Actividad'!$P102*'FE Sectorial'!$H105*'FE Sectorial'!K105/1000/1000</f>
        <v>29.437182532800005</v>
      </c>
      <c r="K106" s="17">
        <f>'Datos Actividad'!$P102*'FE Sectorial'!$H105*'FE Sectorial'!L105/1000/1000</f>
        <v>3679.6478166000006</v>
      </c>
      <c r="L106" s="17">
        <f>'Datos Actividad'!$P102*'FE Sectorial'!$H105*'FE Sectorial'!M105/1000/1000</f>
        <v>1471.8591266400001</v>
      </c>
      <c r="M106" s="17">
        <f>'Datos Actividad'!$P102*'FE Sectorial'!$H105*'FE Sectorial'!N105/1000/1000</f>
        <v>735.92956332000006</v>
      </c>
      <c r="N106" s="17">
        <f>'Datos Actividad'!$P102*'FE Sectorial'!$H105*'FE Sectorial'!O105/1000/1000</f>
        <v>667.50980800000002</v>
      </c>
      <c r="O106" s="87">
        <f>IF(D106&lt;400,H106+I106*'Factores generales'!$M$41+J106*'Factores generales'!$N$41,I106*'Factores generales'!$M$41+J106*'Factores generales'!$N$41)</f>
        <v>1051135.5545855893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31185833.046040591</v>
      </c>
      <c r="I107" s="134">
        <f t="shared" si="27"/>
        <v>10649.721759134045</v>
      </c>
      <c r="J107" s="134">
        <f t="shared" si="27"/>
        <v>2215.1968381980837</v>
      </c>
      <c r="K107" s="134">
        <f t="shared" si="27"/>
        <v>320582.42737796216</v>
      </c>
      <c r="L107" s="134">
        <f t="shared" si="27"/>
        <v>1300477.388716107</v>
      </c>
      <c r="M107" s="134">
        <f t="shared" si="27"/>
        <v>242064.04327453923</v>
      </c>
      <c r="N107" s="134">
        <f t="shared" si="27"/>
        <v>9728.4567908466579</v>
      </c>
      <c r="O107" s="134">
        <f t="shared" si="27"/>
        <v>32096188.222823814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29155204.816078909</v>
      </c>
      <c r="I108" s="15">
        <f t="shared" ref="I108:O108" si="28">I109+I110+I111+I112+I113</f>
        <v>10541.767041964365</v>
      </c>
      <c r="J108" s="15">
        <f t="shared" si="28"/>
        <v>2107.2421210284037</v>
      </c>
      <c r="K108" s="15">
        <f t="shared" si="28"/>
        <v>298437.87000982265</v>
      </c>
      <c r="L108" s="15">
        <f t="shared" si="28"/>
        <v>1272796.6920059326</v>
      </c>
      <c r="M108" s="15">
        <f t="shared" si="28"/>
        <v>236527.90393250436</v>
      </c>
      <c r="N108" s="15">
        <f t="shared" si="28"/>
        <v>8724.226863686843</v>
      </c>
      <c r="O108" s="15">
        <f t="shared" si="28"/>
        <v>30029826.981478967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Actividad'!$P105*'FE Sectorial'!$H108*'FE Sectorial'!I108*'FE Sectorial'!P108/1000</f>
        <v>3930557.4065442956</v>
      </c>
      <c r="I109" s="17">
        <f>'Datos Actividad'!$P105*'FE Sectorial'!$H108*'FE Sectorial'!J108/1000/1000</f>
        <v>6478.225018176</v>
      </c>
      <c r="J109" s="17">
        <f>'Datos Actividad'!$P105*'FE Sectorial'!$H108*'FE Sectorial'!K108/1000/1000</f>
        <v>211.24646798399996</v>
      </c>
      <c r="K109" s="17">
        <f>'Datos Actividad'!$P105*'FE Sectorial'!$H108*'FE Sectorial'!L108/1000/1000</f>
        <v>42249.293596799995</v>
      </c>
      <c r="L109" s="17">
        <f>'Datos Actividad'!$P105*'FE Sectorial'!$H108*'FE Sectorial'!M108/1000/1000</f>
        <v>28166.195731199998</v>
      </c>
      <c r="M109" s="17">
        <f>'Datos Actividad'!$P105*'FE Sectorial'!$H108*'FE Sectorial'!N108/1000/1000</f>
        <v>352.07744664000001</v>
      </c>
      <c r="N109" s="17">
        <f>'Datos Actividad'!$P105*'FE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4132086.5370010319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Actividad'!$P106*'FE Sectorial'!$H109*'FE Sectorial'!I109*'FE Sectorial'!P109/1000</f>
        <v>16477067.77085044</v>
      </c>
      <c r="I110" s="17">
        <f>'Datos Actividad'!$P106*'FE Sectorial'!$H109*'FE Sectorial'!J109/1000/1000</f>
        <v>875.97383151783333</v>
      </c>
      <c r="J110" s="17">
        <f>'Datos Actividad'!$P106*'FE Sectorial'!$H109*'FE Sectorial'!K109/1000/1000</f>
        <v>875.97383151783333</v>
      </c>
      <c r="K110" s="17">
        <f>'Datos Actividad'!$P106*'FE Sectorial'!$H109*'FE Sectorial'!L109/1000/1000</f>
        <v>179686.93979852987</v>
      </c>
      <c r="L110" s="17">
        <f>'Datos Actividad'!$P106*'FE Sectorial'!$H109*'FE Sectorial'!M109/1000/1000</f>
        <v>224608.67474816236</v>
      </c>
      <c r="M110" s="17">
        <f>'Datos Actividad'!$P106*'FE Sectorial'!$H109*'FE Sectorial'!N109/1000/1000</f>
        <v>44921.734949632468</v>
      </c>
      <c r="N110" s="17">
        <f>'Datos Actividad'!$P106*'FE Sectorial'!$H109*'FE Sectorial'!O109/1000/1000</f>
        <v>8148.5937815612397</v>
      </c>
      <c r="O110" s="87">
        <f>IF(D110&lt;400,H110+I110*'Factores generales'!$M$41+J110*'Factores generales'!$N$41,I110*'Factores generales'!$M$41+J110*'Factores generales'!$N$41)</f>
        <v>16767015.109082842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Actividad'!$P107*'FE Sectorial'!$H110*'FE Sectorial'!I110*'FE Sectorial'!P110/1000</f>
        <v>8747579.638684174</v>
      </c>
      <c r="I111" s="17">
        <f>'Datos Actividad'!$P107*'FE Sectorial'!$H110*'FE Sectorial'!J110/1000/1000</f>
        <v>3187.5681922705317</v>
      </c>
      <c r="J111" s="17">
        <f>'Datos Actividad'!$P107*'FE Sectorial'!$H110*'FE Sectorial'!K110/1000/1000</f>
        <v>1020.0218215265702</v>
      </c>
      <c r="K111" s="17">
        <f>'Datos Actividad'!$P107*'FE Sectorial'!$H110*'FE Sectorial'!L110/1000/1000</f>
        <v>76501.636614492774</v>
      </c>
      <c r="L111" s="17">
        <f>'Datos Actividad'!$P107*'FE Sectorial'!$H110*'FE Sectorial'!M110/1000/1000</f>
        <v>1020021.8215265702</v>
      </c>
      <c r="M111" s="17">
        <f>'Datos Actividad'!$P107*'FE Sectorial'!$H110*'FE Sectorial'!N110/1000/1000</f>
        <v>191254.09153623189</v>
      </c>
      <c r="N111" s="17">
        <f>'Datos Actividad'!$P107*'FE Sectorial'!$H110*'FE Sectorial'!O110/1000/1000</f>
        <v>575.63308212560401</v>
      </c>
      <c r="O111" s="87">
        <f>IF(D111&lt;400,H111+I111*'Factores generales'!$M$41+J111*'Factores generales'!$N$41,I111*'Factores generales'!$M$41+J111*'Factores generales'!$N$41)</f>
        <v>9130725.3353950921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Actividad'!$P108*'FE Sectorial'!$H111*'FE Sectorial'!I111*'FE Sectorial'!P111/1000</f>
        <v>0</v>
      </c>
      <c r="I112" s="17">
        <f>'Datos Actividad'!$P108*'FE Sectorial'!$H111*'FE Sectorial'!J111/1000/1000</f>
        <v>0</v>
      </c>
      <c r="J112" s="17">
        <f>'Datos Actividad'!$P108*'FE Sectorial'!$H111*'FE Sectorial'!K111/1000/1000</f>
        <v>0</v>
      </c>
      <c r="K112" s="17">
        <f>'Datos Actividad'!$P108*'FE Sectorial'!$H111*'FE Sectorial'!L111/1000/1000</f>
        <v>0</v>
      </c>
      <c r="L112" s="17">
        <f>'Datos Actividad'!$P108*'FE Sectorial'!$H111*'FE Sectorial'!M111/1000/1000</f>
        <v>0</v>
      </c>
      <c r="M112" s="17">
        <f>'Datos Actividad'!$P108*'FE Sectorial'!$H111*'FE Sectorial'!N111/1000/1000</f>
        <v>0</v>
      </c>
      <c r="N112" s="17">
        <f>'Datos Actividad'!$P108*'FE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Actividad'!$P109*'FE Sectorial'!$H112*'FE Sectorial'!I112*'FE Sectorial'!P112/1000</f>
        <v>0</v>
      </c>
      <c r="I113" s="17">
        <f>'Datos Actividad'!$P109*'FE Sectorial'!$H112*'FE Sectorial'!J112/1000/1000</f>
        <v>0</v>
      </c>
      <c r="J113" s="17">
        <f>'Datos Actividad'!$P109*'FE Sectorial'!$H112*'FE Sectorial'!K112/1000/1000</f>
        <v>0</v>
      </c>
      <c r="K113" s="17">
        <f>'Datos Actividad'!$P109*'FE Sectorial'!$H112*'FE Sectorial'!L112/1000/1000</f>
        <v>0</v>
      </c>
      <c r="L113" s="17">
        <f>'Datos Actividad'!$P109*'FE Sectorial'!$H112*'FE Sectorial'!M112/1000/1000</f>
        <v>0</v>
      </c>
      <c r="M113" s="17">
        <f>'Datos Actividad'!$P109*'FE Sectorial'!$H112*'FE Sectorial'!N112/1000/1000</f>
        <v>0</v>
      </c>
      <c r="N113" s="17">
        <f>'Datos Actividad'!$P109*'FE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2030628.2299616823</v>
      </c>
      <c r="I114" s="15">
        <f t="shared" ref="I114:O114" si="29">I115</f>
        <v>107.95471716968009</v>
      </c>
      <c r="J114" s="15">
        <f t="shared" si="29"/>
        <v>107.95471716968009</v>
      </c>
      <c r="K114" s="15">
        <f t="shared" si="29"/>
        <v>22144.5573681395</v>
      </c>
      <c r="L114" s="15">
        <f t="shared" si="29"/>
        <v>27680.696710174383</v>
      </c>
      <c r="M114" s="15">
        <f t="shared" si="29"/>
        <v>5536.139342034875</v>
      </c>
      <c r="N114" s="15">
        <f t="shared" si="29"/>
        <v>1004.2299271598149</v>
      </c>
      <c r="O114" s="15">
        <f t="shared" si="29"/>
        <v>2066361.2413448466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Actividad'!$P111*'FE Sectorial'!$H114*'FE Sectorial'!I114*'FE Sectorial'!P114/1000</f>
        <v>2030628.2299616823</v>
      </c>
      <c r="I115" s="17">
        <f>'Datos Actividad'!$P111*'FE Sectorial'!$H114*'FE Sectorial'!J114/1000/1000</f>
        <v>107.95471716968009</v>
      </c>
      <c r="J115" s="17">
        <f>'Datos Actividad'!$P111*'FE Sectorial'!$H114*'FE Sectorial'!K114/1000/1000</f>
        <v>107.95471716968009</v>
      </c>
      <c r="K115" s="17">
        <f>'Datos Actividad'!$P111*'FE Sectorial'!$H114*'FE Sectorial'!L114/1000/1000</f>
        <v>22144.5573681395</v>
      </c>
      <c r="L115" s="17">
        <f>'Datos Actividad'!$P111*'FE Sectorial'!$H114*'FE Sectorial'!M114/1000/1000</f>
        <v>27680.696710174383</v>
      </c>
      <c r="M115" s="17">
        <f>'Datos Actividad'!$P111*'FE Sectorial'!$H114*'FE Sectorial'!N114/1000/1000</f>
        <v>5536.139342034875</v>
      </c>
      <c r="N115" s="17">
        <f>'Datos Actividad'!$P111*'FE Sectorial'!$H114*'FE Sectorial'!O114/1000/1000</f>
        <v>1004.2299271598149</v>
      </c>
      <c r="O115" s="87">
        <f>IF(D115&lt;400,H115+I115*'Factores generales'!$M$41+J115*'Factores generales'!$N$41,I115*'Factores generales'!$M$41+J115*'Factores generales'!$N$41)</f>
        <v>2066361.2413448466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145044.04591361649</v>
      </c>
      <c r="I116" s="134">
        <f t="shared" ref="I116:O116" si="30">I117</f>
        <v>8.2053025605789127</v>
      </c>
      <c r="J116" s="134">
        <f t="shared" si="30"/>
        <v>56.547386321098045</v>
      </c>
      <c r="K116" s="134">
        <f t="shared" si="30"/>
        <v>2372.6176078782401</v>
      </c>
      <c r="L116" s="134">
        <f t="shared" si="30"/>
        <v>1977.1813398985332</v>
      </c>
      <c r="M116" s="134">
        <f t="shared" si="30"/>
        <v>395.43626797970666</v>
      </c>
      <c r="N116" s="134">
        <f t="shared" si="30"/>
        <v>71.730299773063066</v>
      </c>
      <c r="O116" s="134">
        <f t="shared" si="30"/>
        <v>162746.04702692904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Actividad'!$P113*'FE Sectorial'!$H116*'FE Sectorial'!I116*'FE Sectorial'!P116/1000</f>
        <v>145044.04591361649</v>
      </c>
      <c r="I117" s="17">
        <f>'Datos Actividad'!$P113*'FE Sectorial'!$H116*'FE Sectorial'!J116/1000/1000</f>
        <v>8.2053025605789127</v>
      </c>
      <c r="J117" s="17">
        <f>'Datos Actividad'!$P113*'FE Sectorial'!$H116*'FE Sectorial'!K116/1000/1000</f>
        <v>56.547386321098045</v>
      </c>
      <c r="K117" s="17">
        <f>'Datos Actividad'!$P113*'FE Sectorial'!$H116*'FE Sectorial'!L116/1000/1000</f>
        <v>2372.6176078782401</v>
      </c>
      <c r="L117" s="17">
        <f>'Datos Actividad'!$P113*'FE Sectorial'!$H116*'FE Sectorial'!M116/1000/1000</f>
        <v>1977.1813398985332</v>
      </c>
      <c r="M117" s="17">
        <f>'Datos Actividad'!$P113*'FE Sectorial'!$H116*'FE Sectorial'!N116/1000/1000</f>
        <v>395.43626797970666</v>
      </c>
      <c r="N117" s="17">
        <f>'Datos Actividad'!$P113*'FE Sectorial'!$H116*'FE Sectorial'!O116/1000/1000</f>
        <v>71.730299773063066</v>
      </c>
      <c r="O117" s="87">
        <f>IF(D117&lt;400,H117+I117*'Factores generales'!$M$41+J117*'Factores generales'!$N$41,I117*'Factores generales'!$M$41+J117*'Factores generales'!$N$41)</f>
        <v>162746.04702692904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185226.71579181001</v>
      </c>
      <c r="I118" s="134">
        <f t="shared" ref="I118:O118" si="31">I122</f>
        <v>17.110470929999998</v>
      </c>
      <c r="J118" s="134">
        <f t="shared" si="31"/>
        <v>4.8887059799999992</v>
      </c>
      <c r="K118" s="134">
        <f t="shared" si="31"/>
        <v>3666.5294849999996</v>
      </c>
      <c r="L118" s="134">
        <f t="shared" si="31"/>
        <v>2444.3529899999999</v>
      </c>
      <c r="M118" s="134">
        <f t="shared" si="31"/>
        <v>488.87059799999997</v>
      </c>
      <c r="N118" s="134">
        <f t="shared" si="31"/>
        <v>381.33822679999997</v>
      </c>
      <c r="O118" s="134">
        <f t="shared" si="31"/>
        <v>187101.53453514003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1565429.5675175453</v>
      </c>
      <c r="I119" s="15">
        <f t="shared" ref="I119:O119" si="32">I120+I121</f>
        <v>144.86761289419999</v>
      </c>
      <c r="J119" s="15">
        <f t="shared" si="32"/>
        <v>41.390746541199995</v>
      </c>
      <c r="K119" s="15">
        <f t="shared" si="32"/>
        <v>31043.059905900001</v>
      </c>
      <c r="L119" s="15">
        <f t="shared" si="32"/>
        <v>20695.373270599997</v>
      </c>
      <c r="M119" s="15">
        <f t="shared" si="32"/>
        <v>4139.0746541199996</v>
      </c>
      <c r="N119" s="15">
        <f t="shared" si="32"/>
        <v>3089.4244133520001</v>
      </c>
      <c r="O119" s="15">
        <f t="shared" si="32"/>
        <v>1581302.9188160955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Actividad'!$P116*'FE Sectorial'!$H119*'FE Sectorial'!I119*'FE Sectorial'!P119/1000</f>
        <v>457491.26042874536</v>
      </c>
      <c r="I120" s="17">
        <f>'Datos Actividad'!$P116*'FE Sectorial'!$H119*'FE Sectorial'!J119/1000/1000</f>
        <v>43.654341294199995</v>
      </c>
      <c r="J120" s="17">
        <f>'Datos Actividad'!$P116*'FE Sectorial'!$H119*'FE Sectorial'!K119/1000/1000</f>
        <v>12.4726689412</v>
      </c>
      <c r="K120" s="17">
        <f>'Datos Actividad'!$P116*'FE Sectorial'!$H119*'FE Sectorial'!L119/1000/1000</f>
        <v>9354.5017059000002</v>
      </c>
      <c r="L120" s="17">
        <f>'Datos Actividad'!$P116*'FE Sectorial'!$H119*'FE Sectorial'!M119/1000/1000</f>
        <v>6236.3344705999998</v>
      </c>
      <c r="M120" s="17">
        <f>'Datos Actividad'!$P116*'FE Sectorial'!$H119*'FE Sectorial'!N119/1000/1000</f>
        <v>1247.2668941199997</v>
      </c>
      <c r="N120" s="17">
        <f>'Datos Actividad'!$P116*'FE Sectorial'!$H119*'FE Sectorial'!O119/1000/1000</f>
        <v>226.248413352</v>
      </c>
      <c r="O120" s="87">
        <f>IF(D120&lt;400,H120+I120*'Factores generales'!$M$41+J120*'Factores generales'!$N$41,I120*'Factores generales'!$M$41+J120*'Factores generales'!$N$41)</f>
        <v>462274.52896769554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Actividad'!$P117*'FE Sectorial'!$H120*'FE Sectorial'!I120*'FE Sectorial'!P120/1000</f>
        <v>1107938.3070888</v>
      </c>
      <c r="I121" s="17">
        <f>'Datos Actividad'!$P117*'FE Sectorial'!$H120*'FE Sectorial'!J120/1000/1000</f>
        <v>101.2132716</v>
      </c>
      <c r="J121" s="17">
        <f>'Datos Actividad'!$P117*'FE Sectorial'!$H120*'FE Sectorial'!K120/1000/1000</f>
        <v>28.918077599999997</v>
      </c>
      <c r="K121" s="17">
        <f>'Datos Actividad'!$P117*'FE Sectorial'!$H120*'FE Sectorial'!L120/1000/1000</f>
        <v>21688.558199999999</v>
      </c>
      <c r="L121" s="17">
        <f>'Datos Actividad'!$P117*'FE Sectorial'!$H120*'FE Sectorial'!M120/1000/1000</f>
        <v>14459.038799999998</v>
      </c>
      <c r="M121" s="17">
        <f>'Datos Actividad'!$P117*'FE Sectorial'!$H120*'FE Sectorial'!N120/1000/1000</f>
        <v>2891.8077599999997</v>
      </c>
      <c r="N121" s="17">
        <f>'Datos Actividad'!$P117*'FE Sectorial'!$H120*'FE Sectorial'!O120/1000/1000</f>
        <v>2863.1759999999999</v>
      </c>
      <c r="O121" s="87">
        <f>IF(D121&lt;400,H121+I121*'Factores generales'!$M$41+J121*'Factores generales'!$N$41,I121*'Factores generales'!$M$41+J121*'Factores generales'!$N$41)</f>
        <v>1119028.3898483999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185226.71579181001</v>
      </c>
      <c r="I122" s="15">
        <f t="shared" ref="I122:O122" si="33">I123+I124</f>
        <v>17.110470929999998</v>
      </c>
      <c r="J122" s="15">
        <f t="shared" si="33"/>
        <v>4.8887059799999992</v>
      </c>
      <c r="K122" s="15">
        <f t="shared" si="33"/>
        <v>3666.5294849999996</v>
      </c>
      <c r="L122" s="15">
        <f t="shared" si="33"/>
        <v>2444.3529899999999</v>
      </c>
      <c r="M122" s="15">
        <f t="shared" si="33"/>
        <v>488.87059799999997</v>
      </c>
      <c r="N122" s="15">
        <f t="shared" si="33"/>
        <v>381.33822679999997</v>
      </c>
      <c r="O122" s="15">
        <f t="shared" si="33"/>
        <v>187101.53453514003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Actividad'!$P119*'FE Sectorial'!$H122*'FE Sectorial'!I122*'FE Sectorial'!P122/1000</f>
        <v>46576.93415660999</v>
      </c>
      <c r="I123" s="17">
        <f>'Datos Actividad'!$P119*'FE Sectorial'!$H122*'FE Sectorial'!J122/1000/1000</f>
        <v>4.4444245299999992</v>
      </c>
      <c r="J123" s="17">
        <f>'Datos Actividad'!$P119*'FE Sectorial'!$H122*'FE Sectorial'!K122/1000/1000</f>
        <v>1.2698355799999999</v>
      </c>
      <c r="K123" s="17">
        <f>'Datos Actividad'!$P119*'FE Sectorial'!$H122*'FE Sectorial'!L122/1000/1000</f>
        <v>952.37668499999984</v>
      </c>
      <c r="L123" s="17">
        <f>'Datos Actividad'!$P119*'FE Sectorial'!$H122*'FE Sectorial'!M122/1000/1000</f>
        <v>634.91778999999997</v>
      </c>
      <c r="M123" s="17">
        <f>'Datos Actividad'!$P119*'FE Sectorial'!$H122*'FE Sectorial'!N122/1000/1000</f>
        <v>126.98355799999999</v>
      </c>
      <c r="N123" s="17">
        <f>'Datos Actividad'!$P119*'FE Sectorial'!$H122*'FE Sectorial'!O122/1000/1000</f>
        <v>23.034226799999995</v>
      </c>
      <c r="O123" s="87">
        <f>IF(D123&lt;400,H123+I123*'Factores generales'!$M$41+J123*'Factores generales'!$N$41,I123*'Factores generales'!$M$41+J123*'Factores generales'!$N$41)</f>
        <v>47063.916101539988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Actividad'!$P120*'FE Sectorial'!$H123*'FE Sectorial'!I123*'FE Sectorial'!P123/1000</f>
        <v>138649.78163520002</v>
      </c>
      <c r="I124" s="17">
        <f>'Datos Actividad'!$P120*'FE Sectorial'!$H123*'FE Sectorial'!J123/1000/1000</f>
        <v>12.666046400000001</v>
      </c>
      <c r="J124" s="17">
        <f>'Datos Actividad'!$P120*'FE Sectorial'!$H123*'FE Sectorial'!K123/1000/1000</f>
        <v>3.6188703999999996</v>
      </c>
      <c r="K124" s="17">
        <f>'Datos Actividad'!$P120*'FE Sectorial'!$H123*'FE Sectorial'!L123/1000/1000</f>
        <v>2714.1527999999998</v>
      </c>
      <c r="L124" s="17">
        <f>'Datos Actividad'!$P120*'FE Sectorial'!$H123*'FE Sectorial'!M123/1000/1000</f>
        <v>1809.4351999999999</v>
      </c>
      <c r="M124" s="17">
        <f>'Datos Actividad'!$P120*'FE Sectorial'!$H123*'FE Sectorial'!N123/1000/1000</f>
        <v>361.88703999999996</v>
      </c>
      <c r="N124" s="17">
        <f>'Datos Actividad'!$P120*'FE Sectorial'!$H123*'FE Sectorial'!O123/1000/1000</f>
        <v>358.30399999999997</v>
      </c>
      <c r="O124" s="87">
        <f>IF(D124&lt;400,H124+I124*'Factores generales'!$M$41+J124*'Factores generales'!$N$41,I124*'Factores generales'!$M$41+J124*'Factores generales'!$N$41)</f>
        <v>140037.61843360003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1836471.7031150162</v>
      </c>
      <c r="I125" s="134">
        <f t="shared" si="34"/>
        <v>32.953738593000004</v>
      </c>
      <c r="J125" s="134">
        <f t="shared" si="34"/>
        <v>3.3068935593000006</v>
      </c>
      <c r="K125" s="134">
        <f t="shared" si="34"/>
        <v>4933.4610389499994</v>
      </c>
      <c r="L125" s="134">
        <f t="shared" si="34"/>
        <v>657.34681685999999</v>
      </c>
      <c r="M125" s="134">
        <f t="shared" si="34"/>
        <v>164.384702965</v>
      </c>
      <c r="N125" s="134">
        <f t="shared" si="34"/>
        <v>1.3930799999999999</v>
      </c>
      <c r="O125" s="134">
        <f t="shared" si="34"/>
        <v>1838188.8686288523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1836471.7031150162</v>
      </c>
      <c r="I126" s="15">
        <f t="shared" si="35"/>
        <v>32.953738593000004</v>
      </c>
      <c r="J126" s="15">
        <f t="shared" si="35"/>
        <v>3.3068935593000006</v>
      </c>
      <c r="K126" s="15">
        <f t="shared" si="35"/>
        <v>4933.4610389499994</v>
      </c>
      <c r="L126" s="15">
        <f t="shared" si="35"/>
        <v>657.34681685999999</v>
      </c>
      <c r="M126" s="15">
        <f t="shared" si="35"/>
        <v>164.384702965</v>
      </c>
      <c r="N126" s="15">
        <f t="shared" si="35"/>
        <v>1.3930799999999999</v>
      </c>
      <c r="O126" s="15">
        <f t="shared" si="35"/>
        <v>1838188.8686288523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Actividad'!$P123*'FE Sectorial'!$H126*'FE Sectorial'!I126*'FE Sectorial'!P126/1000</f>
        <v>1809700.1634096003</v>
      </c>
      <c r="I127" s="17">
        <f>'Datos Actividad'!$P123*'FE Sectorial'!$H126*'FE Sectorial'!J126/1000/1000</f>
        <v>32.420572800000002</v>
      </c>
      <c r="J127" s="17">
        <f>'Datos Actividad'!$P123*'FE Sectorial'!$H126*'FE Sectorial'!K126/1000/1000</f>
        <v>3.2420572800000005</v>
      </c>
      <c r="K127" s="17">
        <f>'Datos Actividad'!$P123*'FE Sectorial'!$H126*'FE Sectorial'!L126/1000/1000</f>
        <v>4863.0859199999995</v>
      </c>
      <c r="L127" s="17">
        <f>'Datos Actividad'!$P123*'FE Sectorial'!$H126*'FE Sectorial'!M126/1000/1000</f>
        <v>648.41145600000004</v>
      </c>
      <c r="M127" s="17">
        <f>'Datos Actividad'!$P123*'FE Sectorial'!$H126*'FE Sectorial'!N126/1000/1000</f>
        <v>162.10286400000001</v>
      </c>
      <c r="N127" s="17">
        <f>'Datos Actividad'!$P123*'FE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1811386.0331952001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Actividad'!$P124*'FE Sectorial'!$H127*'FE Sectorial'!I127*'FE Sectorial'!P127/1000</f>
        <v>2816.912241</v>
      </c>
      <c r="I128" s="17">
        <f>'Datos Actividad'!$P124*'FE Sectorial'!$H127*'FE Sectorial'!J127/1000/1000</f>
        <v>0.11519700000000001</v>
      </c>
      <c r="J128" s="17">
        <f>'Datos Actividad'!$P124*'FE Sectorial'!$H127*'FE Sectorial'!K127/1000/1000</f>
        <v>2.3039399999999998E-2</v>
      </c>
      <c r="K128" s="17">
        <f>'Datos Actividad'!$P124*'FE Sectorial'!$H127*'FE Sectorial'!L127/1000/1000</f>
        <v>7.6798000000000002</v>
      </c>
      <c r="L128" s="17">
        <f>'Datos Actividad'!$P124*'FE Sectorial'!$H127*'FE Sectorial'!M127/1000/1000</f>
        <v>0.57598499999999997</v>
      </c>
      <c r="M128" s="17">
        <f>'Datos Actividad'!$P124*'FE Sectorial'!$H127*'FE Sectorial'!N127/1000/1000</f>
        <v>0.191995</v>
      </c>
      <c r="N128" s="17">
        <f>'Datos Actividad'!$P124*'FE Sectorial'!$H127*'FE Sectorial'!O127/1000/1000</f>
        <v>1.3930799999999999</v>
      </c>
      <c r="O128" s="87">
        <f>IF(D128&lt;400,H128+I128*'Factores generales'!$M$41+J128*'Factores generales'!$N$41,I128*'Factores generales'!$M$41+J128*'Factores generales'!$N$41)</f>
        <v>2826.4735919999998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Actividad'!$P125*'FE Sectorial'!$H128*'FE Sectorial'!I128*'FE Sectorial'!P128/1000</f>
        <v>23954.627464416</v>
      </c>
      <c r="I129" s="17">
        <f>'Datos Actividad'!$P125*'FE Sectorial'!$H128*'FE Sectorial'!J128/1000/1000</f>
        <v>0.41796879300000001</v>
      </c>
      <c r="J129" s="17">
        <f>'Datos Actividad'!$P125*'FE Sectorial'!$H128*'FE Sectorial'!K128/1000/1000</f>
        <v>4.1796879299999999E-2</v>
      </c>
      <c r="K129" s="17">
        <f>'Datos Actividad'!$P125*'FE Sectorial'!$H128*'FE Sectorial'!L128/1000/1000</f>
        <v>62.695318950000001</v>
      </c>
      <c r="L129" s="17">
        <f>'Datos Actividad'!$P125*'FE Sectorial'!$H128*'FE Sectorial'!M128/1000/1000</f>
        <v>8.3593758600000001</v>
      </c>
      <c r="M129" s="17">
        <f>'Datos Actividad'!$P125*'FE Sectorial'!$H128*'FE Sectorial'!N128/1000/1000</f>
        <v>2.089843965</v>
      </c>
      <c r="N129" s="17">
        <f>'Datos Actividad'!$P125*'FE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23976.361841652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25954322.381679464</v>
      </c>
      <c r="I131" s="129">
        <f t="shared" si="36"/>
        <v>2809.2883698879791</v>
      </c>
      <c r="J131" s="129">
        <f t="shared" si="36"/>
        <v>180.53642739629703</v>
      </c>
      <c r="K131" s="129">
        <f t="shared" si="36"/>
        <v>168043.17500483792</v>
      </c>
      <c r="L131" s="129">
        <f t="shared" si="36"/>
        <v>237386.59038870994</v>
      </c>
      <c r="M131" s="129">
        <f t="shared" si="36"/>
        <v>29298.820567648894</v>
      </c>
      <c r="N131" s="129">
        <f t="shared" si="36"/>
        <v>6822.8348949062602</v>
      </c>
      <c r="O131" s="129">
        <f t="shared" si="36"/>
        <v>26069283.729939967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3207245.856223145</v>
      </c>
      <c r="I132" s="134">
        <f>SUM(I133:I137)</f>
        <v>181.86016332240854</v>
      </c>
      <c r="J132" s="134">
        <f t="shared" ref="J132:O132" si="37">SUM(J133:J137)</f>
        <v>23.376398463954406</v>
      </c>
      <c r="K132" s="134">
        <f t="shared" si="37"/>
        <v>8503.9265041157541</v>
      </c>
      <c r="L132" s="134">
        <f t="shared" si="37"/>
        <v>22317.233880059048</v>
      </c>
      <c r="M132" s="134">
        <f t="shared" si="37"/>
        <v>2637.6793832360836</v>
      </c>
      <c r="N132" s="134">
        <f t="shared" si="37"/>
        <v>1397.9507844328441</v>
      </c>
      <c r="O132" s="134">
        <f t="shared" si="37"/>
        <v>3218311.6031767409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Actividad'!$P129*'FE Sectorial'!$H132*'FE Sectorial'!I132*'FE Sectorial'!P132/1000</f>
        <v>383320.48695652169</v>
      </c>
      <c r="I133" s="17">
        <f>'Datos Actividad'!$P129*'FE Sectorial'!$H132*'FE Sectorial'!J132/1000/1000</f>
        <v>118.01739130434783</v>
      </c>
      <c r="J133" s="17">
        <f>'Datos Actividad'!$P129*'FE Sectorial'!$H132*'FE Sectorial'!K132/1000/1000</f>
        <v>15.735652173913042</v>
      </c>
      <c r="K133" s="17">
        <f>'Datos Actividad'!$P129*'FE Sectorial'!$H132*'FE Sectorial'!L132/1000/1000</f>
        <v>393.39130434782606</v>
      </c>
      <c r="L133" s="17">
        <f>'Datos Actividad'!$P129*'FE Sectorial'!$H132*'FE Sectorial'!M132/1000/1000</f>
        <v>19669.565217391304</v>
      </c>
      <c r="M133" s="17">
        <f>'Datos Actividad'!$P129*'FE Sectorial'!$H132*'FE Sectorial'!N132/1000/1000</f>
        <v>2360.3478260869565</v>
      </c>
      <c r="N133" s="17">
        <f>'Datos Actividad'!$P129*'FE Sectorial'!$H132*'FE Sectorial'!O132/1000/1000</f>
        <v>1008.695652173913</v>
      </c>
      <c r="O133" s="87">
        <f>IF(D133&lt;400,H133+I133*'Factores generales'!$M$41+J133*'Factores generales'!$N$41,I133*'Factores generales'!$M$41+J133*'Factores generales'!$N$41)</f>
        <v>7356.4173913043469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Actividad'!$P130*'FE Sectorial'!$H133*'FE Sectorial'!I133*'FE Sectorial'!P133/1000</f>
        <v>2582617.8247491601</v>
      </c>
      <c r="I134" s="17">
        <f>'Datos Actividad'!$P130*'FE Sectorial'!$H133*'FE Sectorial'!J133/1000/1000</f>
        <v>46.267304880000005</v>
      </c>
      <c r="J134" s="17">
        <f>'Datos Actividad'!$P130*'FE Sectorial'!$H133*'FE Sectorial'!K133/1000/1000</f>
        <v>4.6267304880000006</v>
      </c>
      <c r="K134" s="17">
        <f>'Datos Actividad'!$P130*'FE Sectorial'!$H133*'FE Sectorial'!L133/1000/1000</f>
        <v>6940.0957319999998</v>
      </c>
      <c r="L134" s="17">
        <f>'Datos Actividad'!$P130*'FE Sectorial'!$H133*'FE Sectorial'!M133/1000/1000</f>
        <v>2313.3652440000001</v>
      </c>
      <c r="M134" s="17">
        <f>'Datos Actividad'!$P130*'FE Sectorial'!$H133*'FE Sectorial'!N133/1000/1000</f>
        <v>231.3365244</v>
      </c>
      <c r="N134" s="17">
        <f>'Datos Actividad'!$P130*'FE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2585023.72460292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Actividad'!$P131*'FE Sectorial'!$H134*'FE Sectorial'!I134*'FE Sectorial'!P134/1000</f>
        <v>313018.18191780825</v>
      </c>
      <c r="I135" s="17">
        <f>'Datos Actividad'!$P131*'FE Sectorial'!$H134*'FE Sectorial'!J134/1000/1000</f>
        <v>5.0107762557077624</v>
      </c>
      <c r="J135" s="17">
        <f>'Datos Actividad'!$P131*'FE Sectorial'!$H134*'FE Sectorial'!K134/1000/1000</f>
        <v>0.50107762557077618</v>
      </c>
      <c r="K135" s="17">
        <f>'Datos Actividad'!$P131*'FE Sectorial'!$H134*'FE Sectorial'!L134/1000/1000</f>
        <v>751.61643835616439</v>
      </c>
      <c r="L135" s="17">
        <f>'Datos Actividad'!$P131*'FE Sectorial'!$H134*'FE Sectorial'!M134/1000/1000</f>
        <v>250.5388127853881</v>
      </c>
      <c r="M135" s="17">
        <f>'Datos Actividad'!$P131*'FE Sectorial'!$H134*'FE Sectorial'!N134/1000/1000</f>
        <v>25.05388127853881</v>
      </c>
      <c r="N135" s="17">
        <f>'Datos Actividad'!$P131*'FE Sectorial'!$H134*'FE Sectorial'!O134/1000/1000</f>
        <v>21.187214611872147</v>
      </c>
      <c r="O135" s="87">
        <f>IF(D135&lt;400,H135+I135*'Factores generales'!$M$41+J135*'Factores generales'!$N$41,I135*'Factores generales'!$M$41+J135*'Factores generales'!$N$41)</f>
        <v>313278.74228310504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Actividad'!$P132*'FE Sectorial'!$H135*'FE Sectorial'!I135*'FE Sectorial'!P135/1000</f>
        <v>209219.88957617647</v>
      </c>
      <c r="I136" s="17">
        <f>'Datos Actividad'!$P132*'FE Sectorial'!$H135*'FE Sectorial'!J135/1000/1000</f>
        <v>8.5560008823529401</v>
      </c>
      <c r="J136" s="17">
        <f>'Datos Actividad'!$P132*'FE Sectorial'!$H135*'FE Sectorial'!K135/1000/1000</f>
        <v>1.7112001764705882</v>
      </c>
      <c r="K136" s="17">
        <f>'Datos Actividad'!$P132*'FE Sectorial'!$H135*'FE Sectorial'!L135/1000/1000</f>
        <v>285.20002941176477</v>
      </c>
      <c r="L136" s="17">
        <f>'Datos Actividad'!$P132*'FE Sectorial'!$H135*'FE Sectorial'!M135/1000/1000</f>
        <v>57.040005882352951</v>
      </c>
      <c r="M136" s="17">
        <f>'Datos Actividad'!$P132*'FE Sectorial'!$H135*'FE Sectorial'!N135/1000/1000</f>
        <v>14.260001470588238</v>
      </c>
      <c r="N136" s="17">
        <f>'Datos Actividad'!$P132*'FE Sectorial'!$H135*'FE Sectorial'!O135/1000/1000</f>
        <v>103.46791764705883</v>
      </c>
      <c r="O136" s="87">
        <f>IF(D136&lt;400,H136+I136*'Factores generales'!$M$41+J136*'Factores generales'!$N$41,I136*'Factores generales'!$M$41+J136*'Factores generales'!$N$41)</f>
        <v>209930.03764941177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Actividad'!$P133*'FE Sectorial'!$H136*'FE Sectorial'!I136*'FE Sectorial'!P136/1000</f>
        <v>102389.95998000001</v>
      </c>
      <c r="I137" s="17">
        <f>'Datos Actividad'!$P133*'FE Sectorial'!$H136*'FE Sectorial'!J136/1000/1000</f>
        <v>4.0086899999999996</v>
      </c>
      <c r="J137" s="17">
        <f>'Datos Actividad'!$P133*'FE Sectorial'!$H136*'FE Sectorial'!K136/1000/1000</f>
        <v>0.80173800000000006</v>
      </c>
      <c r="K137" s="17">
        <f>'Datos Actividad'!$P133*'FE Sectorial'!$H136*'FE Sectorial'!L136/1000/1000</f>
        <v>133.62299999999999</v>
      </c>
      <c r="L137" s="17">
        <f>'Datos Actividad'!$P133*'FE Sectorial'!$H136*'FE Sectorial'!M136/1000/1000</f>
        <v>26.724599999999999</v>
      </c>
      <c r="M137" s="17">
        <f>'Datos Actividad'!$P133*'FE Sectorial'!$H136*'FE Sectorial'!N136/1000/1000</f>
        <v>6.6811499999999997</v>
      </c>
      <c r="N137" s="17">
        <f>'Datos Actividad'!$P133*'FE Sectorial'!$H136*'FE Sectorial'!O136/1000/1000</f>
        <v>264.60000000000002</v>
      </c>
      <c r="O137" s="87">
        <f>IF(D137&lt;400,H137+I137*'Factores generales'!$M$41+J137*'Factores generales'!$N$41,I137*'Factores generales'!$M$41+J137*'Factores generales'!$N$41)</f>
        <v>102722.68125000002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15603668.383838676</v>
      </c>
      <c r="I138" s="134">
        <f>SUM(I139:I144)</f>
        <v>2335.3001183302767</v>
      </c>
      <c r="J138" s="134">
        <f t="shared" ref="J138:O138" si="38">SUM(J139:J144)</f>
        <v>98.734411285283812</v>
      </c>
      <c r="K138" s="134">
        <f t="shared" si="38"/>
        <v>42688.013206604526</v>
      </c>
      <c r="L138" s="134">
        <f t="shared" si="38"/>
        <v>117693.32709688619</v>
      </c>
      <c r="M138" s="134">
        <f t="shared" si="38"/>
        <v>7185.9353020598683</v>
      </c>
      <c r="N138" s="134">
        <f t="shared" si="38"/>
        <v>1892.1723457675339</v>
      </c>
      <c r="O138" s="134">
        <f t="shared" si="38"/>
        <v>15683317.353822051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Actividad'!$P135*'FE Sectorial'!$H138*'FE Sectorial'!I138*'FE Sectorial'!P138/1000</f>
        <v>588198.67826086946</v>
      </c>
      <c r="I139" s="17">
        <f>'Datos Actividad'!$P135*'FE Sectorial'!$H138*'FE Sectorial'!J138/1000/1000</f>
        <v>181.09565217391304</v>
      </c>
      <c r="J139" s="17">
        <f>'Datos Actividad'!$P135*'FE Sectorial'!$H138*'FE Sectorial'!K138/1000/1000</f>
        <v>24.146086956521739</v>
      </c>
      <c r="K139" s="17">
        <f>'Datos Actividad'!$P135*'FE Sectorial'!$H138*'FE Sectorial'!L138/1000/1000</f>
        <v>603.6521739130435</v>
      </c>
      <c r="L139" s="17">
        <f>'Datos Actividad'!$P135*'FE Sectorial'!$H138*'FE Sectorial'!M138/1000/1000</f>
        <v>30182.608695652172</v>
      </c>
      <c r="M139" s="17">
        <f>'Datos Actividad'!$P135*'FE Sectorial'!$H138*'FE Sectorial'!N138/1000/1000</f>
        <v>3621.9130434782605</v>
      </c>
      <c r="N139" s="17">
        <f>'Datos Actividad'!$P135*'FE Sectorial'!$H138*'FE Sectorial'!O138/1000/1000</f>
        <v>1547.8260869565217</v>
      </c>
      <c r="O139" s="87">
        <f>IF(D139&lt;400,H139+I139*'Factores generales'!$M$41+J139*'Factores generales'!$N$41,I139*'Factores generales'!$M$41+J139*'Factores generales'!$N$41)</f>
        <v>11288.295652173912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Actividad'!$P136*'FE Sectorial'!$H139*'FE Sectorial'!I139*'FE Sectorial'!P139/1000</f>
        <v>186713.25328271702</v>
      </c>
      <c r="I140" s="17">
        <f>'Datos Actividad'!$P136*'FE Sectorial'!$H139*'FE Sectorial'!J139/1000/1000</f>
        <v>64.383880442316226</v>
      </c>
      <c r="J140" s="17">
        <f>'Datos Actividad'!$P136*'FE Sectorial'!$H139*'FE Sectorial'!K139/1000/1000</f>
        <v>8.5845173923088289</v>
      </c>
      <c r="K140" s="17">
        <f>'Datos Actividad'!$P136*'FE Sectorial'!$H139*'FE Sectorial'!L139/1000/1000</f>
        <v>214.61293480772071</v>
      </c>
      <c r="L140" s="17">
        <f>'Datos Actividad'!$P136*'FE Sectorial'!$H139*'FE Sectorial'!M139/1000/1000</f>
        <v>10730.646740386035</v>
      </c>
      <c r="M140" s="17">
        <f>'Datos Actividad'!$P136*'FE Sectorial'!$H139*'FE Sectorial'!N139/1000/1000</f>
        <v>1287.6776088463246</v>
      </c>
      <c r="N140" s="17">
        <f>'Datos Actividad'!$P136*'FE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4013.2618809043779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Actividad'!$P137*'FE Sectorial'!$H140*'FE Sectorial'!I140*'FE Sectorial'!P140/1000</f>
        <v>13420109.547428761</v>
      </c>
      <c r="I141" s="17">
        <f>'Datos Actividad'!$P137*'FE Sectorial'!$H140*'FE Sectorial'!J140/1000/1000</f>
        <v>240.41973768000003</v>
      </c>
      <c r="J141" s="17">
        <f>'Datos Actividad'!$P137*'FE Sectorial'!$H140*'FE Sectorial'!K140/1000/1000</f>
        <v>24.041973768000002</v>
      </c>
      <c r="K141" s="17">
        <f>'Datos Actividad'!$P137*'FE Sectorial'!$H140*'FE Sectorial'!L140/1000/1000</f>
        <v>36062.960652000002</v>
      </c>
      <c r="L141" s="17">
        <f>'Datos Actividad'!$P137*'FE Sectorial'!$H140*'FE Sectorial'!M140/1000/1000</f>
        <v>12020.986884</v>
      </c>
      <c r="M141" s="17">
        <f>'Datos Actividad'!$P137*'FE Sectorial'!$H140*'FE Sectorial'!N140/1000/1000</f>
        <v>1202.0986884000001</v>
      </c>
      <c r="N141" s="17">
        <f>'Datos Actividad'!$P137*'FE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13432611.37378812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Actividad'!$P138*'FE Sectorial'!$H141*'FE Sectorial'!I141*'FE Sectorial'!P141/1000</f>
        <v>1840546.9096767122</v>
      </c>
      <c r="I142" s="17">
        <f>'Datos Actividad'!$P138*'FE Sectorial'!$H141*'FE Sectorial'!J141/1000/1000</f>
        <v>29.463364383561643</v>
      </c>
      <c r="J142" s="17">
        <f>'Datos Actividad'!$P138*'FE Sectorial'!$H141*'FE Sectorial'!K141/1000/1000</f>
        <v>2.9463364383561643</v>
      </c>
      <c r="K142" s="17">
        <f>'Datos Actividad'!$P138*'FE Sectorial'!$H141*'FE Sectorial'!L141/1000/1000</f>
        <v>4419.5046575342467</v>
      </c>
      <c r="L142" s="17">
        <f>'Datos Actividad'!$P138*'FE Sectorial'!$H141*'FE Sectorial'!M141/1000/1000</f>
        <v>1473.1682191780819</v>
      </c>
      <c r="M142" s="17">
        <f>'Datos Actividad'!$P138*'FE Sectorial'!$H141*'FE Sectorial'!N141/1000/1000</f>
        <v>147.3168219178082</v>
      </c>
      <c r="N142" s="17">
        <f>'Datos Actividad'!$P138*'FE Sectorial'!$H141*'FE Sectorial'!O141/1000/1000</f>
        <v>124.58082191780824</v>
      </c>
      <c r="O142" s="87">
        <f>IF(D142&lt;400,H142+I142*'Factores generales'!$M$41+J142*'Factores generales'!$N$41,I142*'Factores generales'!$M$41+J142*'Factores generales'!$N$41)</f>
        <v>1842079.0046246573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Actividad'!$P139*'FE Sectorial'!$H142*'FE Sectorial'!I142*'FE Sectorial'!P142/1000</f>
        <v>343011.92673320387</v>
      </c>
      <c r="I143" s="17">
        <f>'Datos Actividad'!$P139*'FE Sectorial'!$H142*'FE Sectorial'!J142/1000/1000</f>
        <v>14.537483650485438</v>
      </c>
      <c r="J143" s="17">
        <f>'Datos Actividad'!$P139*'FE Sectorial'!$H142*'FE Sectorial'!K142/1000/1000</f>
        <v>2.9074967300970869</v>
      </c>
      <c r="K143" s="17">
        <f>'Datos Actividad'!$P139*'FE Sectorial'!$H142*'FE Sectorial'!L142/1000/1000</f>
        <v>484.58278834951454</v>
      </c>
      <c r="L143" s="17">
        <f>'Datos Actividad'!$P139*'FE Sectorial'!$H142*'FE Sectorial'!M142/1000/1000</f>
        <v>96.9165576699029</v>
      </c>
      <c r="M143" s="17">
        <f>'Datos Actividad'!$P139*'FE Sectorial'!$H142*'FE Sectorial'!N142/1000/1000</f>
        <v>24.229139417475725</v>
      </c>
      <c r="N143" s="17">
        <f>'Datos Actividad'!$P139*'FE Sectorial'!$H142*'FE Sectorial'!O142/1000/1000</f>
        <v>219.76543689320386</v>
      </c>
      <c r="O143" s="87">
        <f>IF(D143&lt;400,H143+I143*'Factores generales'!$M$41+J143*'Factores generales'!$N$41,I143*'Factores generales'!$M$41+J143*'Factores generales'!$N$41)</f>
        <v>344218.53787619411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Actividad'!$P140*'FE Sectorial'!$H143*'FE Sectorial'!I143*'FE Sectorial'!P143/1000</f>
        <v>879590.88</v>
      </c>
      <c r="I144" s="17">
        <f>'Datos Actividad'!$P140*'FE Sectorial'!$H143*'FE Sectorial'!J143/1000/1000</f>
        <v>1805.4</v>
      </c>
      <c r="J144" s="17">
        <f>'Datos Actividad'!$P140*'FE Sectorial'!$H143*'FE Sectorial'!K143/1000/1000</f>
        <v>36.107999999999997</v>
      </c>
      <c r="K144" s="17">
        <f>'Datos Actividad'!$P140*'FE Sectorial'!$H143*'FE Sectorial'!L143/1000/1000</f>
        <v>902.7</v>
      </c>
      <c r="L144" s="17">
        <f>'Datos Actividad'!$P140*'FE Sectorial'!$H143*'FE Sectorial'!M143/1000/1000</f>
        <v>63189</v>
      </c>
      <c r="M144" s="17">
        <f>'Datos Actividad'!$P140*'FE Sectorial'!$H143*'FE Sectorial'!N143/1000/1000</f>
        <v>902.7</v>
      </c>
      <c r="N144" s="17">
        <f>'Datos Actividad'!$P140*'FE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49106.880000000005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7143408.1416176455</v>
      </c>
      <c r="I145" s="134">
        <f t="shared" ref="I145:O145" si="39">SUM(I146:I149)</f>
        <v>292.12808823529411</v>
      </c>
      <c r="J145" s="134">
        <f t="shared" si="39"/>
        <v>58.425617647058814</v>
      </c>
      <c r="K145" s="134">
        <f t="shared" si="39"/>
        <v>116851.23529411764</v>
      </c>
      <c r="L145" s="134">
        <f t="shared" si="39"/>
        <v>97376.029411764699</v>
      </c>
      <c r="M145" s="134">
        <f t="shared" si="39"/>
        <v>19475.205882352941</v>
      </c>
      <c r="N145" s="134">
        <f t="shared" si="39"/>
        <v>3532.7117647058822</v>
      </c>
      <c r="O145" s="134">
        <f t="shared" si="39"/>
        <v>7167654.7729411749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Actividad'!$P142*'FE Sectorial'!$H145*'FE Sectorial'!I145*'FE Sectorial'!P145/1000</f>
        <v>0</v>
      </c>
      <c r="I146" s="17">
        <f>'Datos Actividad'!$P142*'FE Sectorial'!$H145*'FE Sectorial'!J145/1000/1000</f>
        <v>0</v>
      </c>
      <c r="J146" s="17">
        <f>'Datos Actividad'!$P142*'FE Sectorial'!$H145*'FE Sectorial'!K145/1000/1000</f>
        <v>0</v>
      </c>
      <c r="K146" s="17">
        <f>'Datos Actividad'!$P142*'FE Sectorial'!$H145*'FE Sectorial'!L145/1000/1000</f>
        <v>0</v>
      </c>
      <c r="L146" s="17">
        <f>'Datos Actividad'!$P142*'FE Sectorial'!$H145*'FE Sectorial'!M145/1000/1000</f>
        <v>0</v>
      </c>
      <c r="M146" s="17">
        <f>'Datos Actividad'!$P142*'FE Sectorial'!$H145*'FE Sectorial'!N145/1000/1000</f>
        <v>0</v>
      </c>
      <c r="N146" s="17">
        <f>'Datos Actividad'!$P142*'FE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Actividad'!$P143*'FE Sectorial'!$H146*'FE Sectorial'!I146*'FE Sectorial'!P146/1000</f>
        <v>0</v>
      </c>
      <c r="I147" s="17">
        <f>'Datos Actividad'!$P143*'FE Sectorial'!$H146*'FE Sectorial'!J146/1000/1000</f>
        <v>0</v>
      </c>
      <c r="J147" s="17">
        <f>'Datos Actividad'!$P143*'FE Sectorial'!$H146*'FE Sectorial'!K146/1000/1000</f>
        <v>0</v>
      </c>
      <c r="K147" s="17">
        <f>'Datos Actividad'!$P143*'FE Sectorial'!$H146*'FE Sectorial'!L146/1000/1000</f>
        <v>0</v>
      </c>
      <c r="L147" s="17">
        <f>'Datos Actividad'!$P143*'FE Sectorial'!$H146*'FE Sectorial'!M146/1000/1000</f>
        <v>0</v>
      </c>
      <c r="M147" s="17">
        <f>'Datos Actividad'!$P143*'FE Sectorial'!$H146*'FE Sectorial'!N146/1000/1000</f>
        <v>0</v>
      </c>
      <c r="N147" s="17">
        <f>'Datos Actividad'!$P143*'FE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Actividad'!$P144*'FE Sectorial'!$H147*'FE Sectorial'!I147*'FE Sectorial'!P147/1000</f>
        <v>7143408.1416176455</v>
      </c>
      <c r="I148" s="17">
        <f>'Datos Actividad'!$P144*'FE Sectorial'!$H147*'FE Sectorial'!J147/1000/1000</f>
        <v>292.12808823529411</v>
      </c>
      <c r="J148" s="17">
        <f>'Datos Actividad'!$P144*'FE Sectorial'!$H147*'FE Sectorial'!K147/1000/1000</f>
        <v>58.425617647058814</v>
      </c>
      <c r="K148" s="17">
        <f>'Datos Actividad'!$P144*'FE Sectorial'!$H147*'FE Sectorial'!L147/1000/1000</f>
        <v>116851.23529411764</v>
      </c>
      <c r="L148" s="17">
        <f>'Datos Actividad'!$P144*'FE Sectorial'!$H147*'FE Sectorial'!M147/1000/1000</f>
        <v>97376.029411764699</v>
      </c>
      <c r="M148" s="17">
        <f>'Datos Actividad'!$P144*'FE Sectorial'!$H147*'FE Sectorial'!N147/1000/1000</f>
        <v>19475.205882352941</v>
      </c>
      <c r="N148" s="17">
        <f>'Datos Actividad'!$P144*'FE Sectorial'!$H147*'FE Sectorial'!O147/1000/1000</f>
        <v>3532.7117647058822</v>
      </c>
      <c r="O148" s="87">
        <f>IF(D148&lt;400,H148+I148*'Factores generales'!$M$41+J148*'Factores generales'!$N$41,I148*'Factores generales'!$M$41+J148*'Factores generales'!$N$41)</f>
        <v>7167654.7729411749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Actividad'!$P145*'FE Sectorial'!$H148*'FE Sectorial'!I148*'FE Sectorial'!P148/1000</f>
        <v>0</v>
      </c>
      <c r="I149" s="17">
        <f>'Datos Actividad'!$P145*'FE Sectorial'!$H148*'FE Sectorial'!J148/1000/1000</f>
        <v>0</v>
      </c>
      <c r="J149" s="17">
        <f>'Datos Actividad'!$P145*'FE Sectorial'!$H148*'FE Sectorial'!K148/1000/1000</f>
        <v>0</v>
      </c>
      <c r="K149" s="17">
        <f>'Datos Actividad'!$P145*'FE Sectorial'!$H148*'FE Sectorial'!L148/1000/1000</f>
        <v>0</v>
      </c>
      <c r="L149" s="17">
        <f>'Datos Actividad'!$P145*'FE Sectorial'!$H148*'FE Sectorial'!M148/1000/1000</f>
        <v>0</v>
      </c>
      <c r="M149" s="17">
        <f>'Datos Actividad'!$P145*'FE Sectorial'!$H148*'FE Sectorial'!N148/1000/1000</f>
        <v>0</v>
      </c>
      <c r="N149" s="17">
        <f>'Datos Actividad'!$P145*'FE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Actividad'!$P147*'FE Sectorial'!$H150*'FE Sectorial'!I150*'FE Sectorial'!P150/1000</f>
        <v>0</v>
      </c>
      <c r="I151" s="134">
        <f>'Datos Actividad'!$P147*'FE Sectorial'!$H150*'FE Sectorial'!J150/1000/1000</f>
        <v>0</v>
      </c>
      <c r="J151" s="134">
        <f>'Datos Actividad'!$P147*'FE Sectorial'!$H150*'FE Sectorial'!K150/1000/1000</f>
        <v>0</v>
      </c>
      <c r="K151" s="134">
        <f>'Datos Actividad'!$P147*'FE Sectorial'!$H150*'FE Sectorial'!L150/1000/1000</f>
        <v>0</v>
      </c>
      <c r="L151" s="134">
        <f>'Datos Actividad'!$P147*'FE Sectorial'!$H150*'FE Sectorial'!M150/1000/1000</f>
        <v>0</v>
      </c>
      <c r="M151" s="134">
        <f>'Datos Actividad'!$P147*'FE Sectorial'!$H150*'FE Sectorial'!N150/1000/1000</f>
        <v>0</v>
      </c>
      <c r="N151" s="134">
        <f>'Datos Actividad'!$P147*'FE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Actividad'!$P148*'FE Sectorial'!$H151*'FE Sectorial'!I151*'FE Sectorial'!P151/1000</f>
        <v>0</v>
      </c>
      <c r="I152" s="134">
        <f>'Datos Actividad'!$P148*'FE Sectorial'!$H151*'FE Sectorial'!J151/1000/1000</f>
        <v>0</v>
      </c>
      <c r="J152" s="134">
        <f>'Datos Actividad'!$P148*'FE Sectorial'!$H151*'FE Sectorial'!K151/1000/1000</f>
        <v>0</v>
      </c>
      <c r="K152" s="134">
        <f>'Datos Actividad'!$P148*'FE Sectorial'!$H151*'FE Sectorial'!L151/1000/1000</f>
        <v>0</v>
      </c>
      <c r="L152" s="134">
        <f>'Datos Actividad'!$P148*'FE Sectorial'!$H151*'FE Sectorial'!M151/1000/1000</f>
        <v>0</v>
      </c>
      <c r="M152" s="134">
        <f>'Datos Actividad'!$P148*'FE Sectorial'!$H151*'FE Sectorial'!N151/1000/1000</f>
        <v>0</v>
      </c>
      <c r="N152" s="134">
        <f>'Datos Actividad'!$P148*'FE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5244474.3633068288</v>
      </c>
      <c r="I153" s="124">
        <f t="shared" ref="I153:N153" si="41">I154+I168</f>
        <v>324835.24489324738</v>
      </c>
      <c r="J153" s="124">
        <f t="shared" si="41"/>
        <v>36.183111631636443</v>
      </c>
      <c r="K153" s="124">
        <f t="shared" si="41"/>
        <v>1451.3911074657024</v>
      </c>
      <c r="L153" s="124">
        <f t="shared" si="41"/>
        <v>2322.2173488000003</v>
      </c>
      <c r="M153" s="124">
        <f t="shared" si="41"/>
        <v>115555.11179615087</v>
      </c>
      <c r="N153" s="124">
        <f t="shared" si="41"/>
        <v>23222.173488</v>
      </c>
      <c r="O153" s="124">
        <f>IF(D153&lt;400,H153+I153*'Factores generales'!$M$41+J153*'Factores generales'!$N$41,I153*'Factores generales'!$M$41+J153*'Factores generales'!$N$41)</f>
        <v>12077231.270670831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5244474.3633068288</v>
      </c>
      <c r="I168" s="129">
        <f t="shared" ref="I168:O168" si="44">I169+I188+I204</f>
        <v>322123.6535128883</v>
      </c>
      <c r="J168" s="129">
        <f t="shared" si="44"/>
        <v>36.183111631636443</v>
      </c>
      <c r="K168" s="129">
        <f t="shared" si="44"/>
        <v>1451.3911074657024</v>
      </c>
      <c r="L168" s="129">
        <f t="shared" si="44"/>
        <v>2322.2173488000003</v>
      </c>
      <c r="M168" s="129">
        <f t="shared" si="44"/>
        <v>115555.11179615087</v>
      </c>
      <c r="N168" s="129">
        <f t="shared" si="44"/>
        <v>23222.173488</v>
      </c>
      <c r="O168" s="129">
        <f t="shared" si="44"/>
        <v>12020287.851683291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36707.001763554385</v>
      </c>
      <c r="I169" s="134">
        <f t="shared" ref="I169:O169" si="45">SUM(I170:I187)</f>
        <v>14968.161559519493</v>
      </c>
      <c r="J169" s="134">
        <f t="shared" si="45"/>
        <v>0.25544515810639279</v>
      </c>
      <c r="K169" s="134">
        <f t="shared" si="45"/>
        <v>1451.3911074657024</v>
      </c>
      <c r="L169" s="134">
        <f t="shared" si="45"/>
        <v>2322.2173488000003</v>
      </c>
      <c r="M169" s="134">
        <f t="shared" si="45"/>
        <v>65864.799636369135</v>
      </c>
      <c r="N169" s="134">
        <f t="shared" si="45"/>
        <v>23222.173488</v>
      </c>
      <c r="O169" s="134">
        <f t="shared" si="45"/>
        <v>351117.58251247666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Actividad'!$P167*'FE Sectorial'!I170*1000</f>
        <v>706.08662865592044</v>
      </c>
      <c r="I171" s="92">
        <f>'Datos Actividad'!$P167*'FE Sectorial'!J170*1000</f>
        <v>14.993274321014788</v>
      </c>
      <c r="J171" s="92">
        <f>'Datos Actividad'!$P167*'FE Sectorial'!K170*1000</f>
        <v>5.1964218458473909E-3</v>
      </c>
      <c r="K171" s="92">
        <f>'Datos Actividad'!$P167*'FE Sectorial'!L170*1000</f>
        <v>0</v>
      </c>
      <c r="L171" s="92">
        <f>'Datos Actividad'!$P167*'FE Sectorial'!M170*1000</f>
        <v>0</v>
      </c>
      <c r="M171" s="92">
        <f>'Datos Actividad'!$P167*'FE Sectorial'!N170*1000</f>
        <v>2.31030550296691</v>
      </c>
      <c r="N171" s="92">
        <f>'Datos Actividad'!$P167*'FE Sectorial'!O170*1000</f>
        <v>0</v>
      </c>
      <c r="O171" s="87">
        <f>IF(D171&lt;400,H171+I171*'Factores generales'!$M$41+J171*'Factores generales'!$N$41,I171*'Factores generales'!$M$41+J171*'Factores generales'!$N$41)</f>
        <v>1022.5562801694437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Actividad'!$P168*'FE Sectorial'!I171*1000</f>
        <v>3604.7580515591731</v>
      </c>
      <c r="I172" s="92">
        <f>'Datos Actividad'!$P168*'FE Sectorial'!J171*1000</f>
        <v>76.544611007286022</v>
      </c>
      <c r="J172" s="92">
        <f>'Datos Actividad'!$P168*'FE Sectorial'!K171*1000</f>
        <v>2.6529101002484044E-2</v>
      </c>
      <c r="K172" s="92">
        <f>'Datos Actividad'!$P168*'FE Sectorial'!L171*1000</f>
        <v>0</v>
      </c>
      <c r="L172" s="92">
        <f>'Datos Actividad'!$P168*'FE Sectorial'!M171*1000</f>
        <v>0</v>
      </c>
      <c r="M172" s="92">
        <f>'Datos Actividad'!$P168*'FE Sectorial'!N171*1000</f>
        <v>11.794717567778433</v>
      </c>
      <c r="N172" s="92">
        <f>'Datos Actividad'!$P168*'FE Sectorial'!O171*1000</f>
        <v>0</v>
      </c>
      <c r="O172" s="87">
        <f>IF(D172&lt;400,H172+I172*'Factores generales'!$M$41+J172*'Factores generales'!$N$41,I172*'Factores generales'!$M$41+J172*'Factores generales'!$N$41)</f>
        <v>5220.4189040229494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Actividad'!$P169*'FE Sectorial'!I172*1000</f>
        <v>30398.887486344363</v>
      </c>
      <c r="I173" s="92">
        <f>'Datos Actividad'!$P169*'FE Sectorial'!J172*1000</f>
        <v>645.49991550474181</v>
      </c>
      <c r="J173" s="92">
        <f>'Datos Actividad'!$P169*'FE Sectorial'!K172*1000</f>
        <v>0.22371963525806135</v>
      </c>
      <c r="K173" s="92">
        <f>'Datos Actividad'!$P169*'FE Sectorial'!L172*1000</f>
        <v>0</v>
      </c>
      <c r="L173" s="92">
        <f>'Datos Actividad'!$P169*'FE Sectorial'!M172*1000</f>
        <v>0</v>
      </c>
      <c r="M173" s="92">
        <f>'Datos Actividad'!$P169*'FE Sectorial'!N172*1000</f>
        <v>99.464731654049061</v>
      </c>
      <c r="N173" s="92">
        <f>'Datos Actividad'!$P169*'FE Sectorial'!O172*1000</f>
        <v>0</v>
      </c>
      <c r="O173" s="87">
        <f>IF(D173&lt;400,H173+I173*'Factores generales'!$M$41+J173*'Factores generales'!$N$41,I173*'Factores generales'!$M$41+J173*'Factores generales'!$N$41)</f>
        <v>44023.738798873943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Actividad'!$P171*'FE Sectorial'!I174</f>
        <v>956.07948906853551</v>
      </c>
      <c r="I175" s="92">
        <f>'Datos Actividad'!$P171*'FE Sectorial'!J174</f>
        <v>13188.174522899999</v>
      </c>
      <c r="J175" s="92">
        <f>'Datos Actividad'!$P171*'FE Sectorial'!K174</f>
        <v>0</v>
      </c>
      <c r="K175" s="92">
        <f>'Datos Actividad'!$P171*'FE Sectorial'!L174</f>
        <v>0</v>
      </c>
      <c r="L175" s="92">
        <f>'Datos Actividad'!$P171*'FE Sectorial'!M174</f>
        <v>0</v>
      </c>
      <c r="M175" s="92">
        <f>'Datos Actividad'!$P171*'FE Sectorial'!N174</f>
        <v>16152.149109938993</v>
      </c>
      <c r="N175" s="92">
        <f>'Datos Actividad'!$P171*'FE Sectorial'!O174</f>
        <v>0</v>
      </c>
      <c r="O175" s="87">
        <f>IF(D175&lt;400,H175+I175*'Factores generales'!$M$41+J175*'Factores generales'!$N$41,I175*'Factores generales'!$M$41+J175*'Factores generales'!$N$41)</f>
        <v>277907.74446996849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Actividad'!$P173*'FE Sectorial'!I176</f>
        <v>0</v>
      </c>
      <c r="I177" s="92">
        <f>'Datos Actividad'!$P173*'FE Sectorial'!J176</f>
        <v>530.1458432963002</v>
      </c>
      <c r="J177" s="92">
        <f>'Datos Actividad'!$P173*'FE Sectorial'!K176</f>
        <v>0</v>
      </c>
      <c r="K177" s="92">
        <f>'Datos Actividad'!$P173*'FE Sectorial'!L176</f>
        <v>0</v>
      </c>
      <c r="L177" s="92">
        <f>'Datos Actividad'!$P173*'FE Sectorial'!M176</f>
        <v>0</v>
      </c>
      <c r="M177" s="92">
        <f>'Datos Actividad'!$P173*'FE Sectorial'!N176</f>
        <v>0</v>
      </c>
      <c r="N177" s="92">
        <f>'Datos Actividad'!$P173*'FE Sectorial'!O176</f>
        <v>0</v>
      </c>
      <c r="O177" s="87">
        <f>IF(D177&lt;400,H177+I177*'Factores generales'!$M$41+J177*'Factores generales'!$N$41,I177*'Factores generales'!$M$41+J177*'Factores generales'!$N$41)</f>
        <v>11133.062709222304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Actividad'!$P174*'FE Sectorial'!I177</f>
        <v>12.226357001669999</v>
      </c>
      <c r="I178" s="92">
        <f>'Datos Actividad'!$P174*'FE Sectorial'!J177</f>
        <v>134.73944450819999</v>
      </c>
      <c r="J178" s="92">
        <f>'Datos Actividad'!$P174*'FE Sectorial'!K177</f>
        <v>0</v>
      </c>
      <c r="K178" s="92">
        <f>'Datos Actividad'!$P174*'FE Sectorial'!L177</f>
        <v>0</v>
      </c>
      <c r="L178" s="92">
        <f>'Datos Actividad'!$P174*'FE Sectorial'!M177</f>
        <v>0</v>
      </c>
      <c r="M178" s="92">
        <f>'Datos Actividad'!$P174*'FE Sectorial'!N177</f>
        <v>1347.3944450820002</v>
      </c>
      <c r="N178" s="92">
        <f>'Datos Actividad'!$P174*'FE Sectorial'!O177</f>
        <v>0</v>
      </c>
      <c r="O178" s="87">
        <f>IF(D178&lt;400,H178+I178*'Factores generales'!$M$41+J178*'Factores generales'!$N$41,I178*'Factores generales'!$M$41+J178*'Factores generales'!$N$41)</f>
        <v>2841.7546916738697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Actividad'!$P177*'FE Sectorial'!I180</f>
        <v>0</v>
      </c>
      <c r="I181" s="92">
        <f>'Datos Actividad'!$P177*'FE Sectorial'!J180</f>
        <v>299.70326940946336</v>
      </c>
      <c r="J181" s="92">
        <f>'Datos Actividad'!$P177*'FE Sectorial'!K180</f>
        <v>0</v>
      </c>
      <c r="K181" s="92">
        <f>'Datos Actividad'!$P177*'FE Sectorial'!L180</f>
        <v>1451.385843</v>
      </c>
      <c r="L181" s="92">
        <f>'Datos Actividad'!$P177*'FE Sectorial'!M180</f>
        <v>2322.2173488000003</v>
      </c>
      <c r="M181" s="92">
        <f>'Datos Actividad'!$P177*'FE Sectorial'!N180</f>
        <v>37736.031918000001</v>
      </c>
      <c r="N181" s="92">
        <f>'Datos Actividad'!$P177*'FE Sectorial'!O180</f>
        <v>23222.173488</v>
      </c>
      <c r="O181" s="87">
        <f>IF(D181&lt;400,H181+I181*'Factores generales'!$M$41+J181*'Factores generales'!$N$41,I181*'Factores generales'!$M$41+J181*'Factores generales'!$N$41)</f>
        <v>6293.7686575987309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Actividad'!$P179*'FE Sectorial'!I182</f>
        <v>0</v>
      </c>
      <c r="I183" s="92">
        <f>'Datos Actividad'!$P179*'FE Sectorial'!J182</f>
        <v>78.360678572488013</v>
      </c>
      <c r="J183" s="92">
        <f>'Datos Actividad'!$P179*'FE Sectorial'!K182</f>
        <v>0</v>
      </c>
      <c r="K183" s="92">
        <f>'Datos Actividad'!$P179*'FE Sectorial'!L182</f>
        <v>0</v>
      </c>
      <c r="L183" s="92">
        <f>'Datos Actividad'!$P179*'FE Sectorial'!M182</f>
        <v>0</v>
      </c>
      <c r="M183" s="92">
        <f>'Datos Actividad'!$P179*'FE Sectorial'!N182</f>
        <v>0</v>
      </c>
      <c r="N183" s="92">
        <f>'Datos Actividad'!$P179*'FE Sectorial'!O182</f>
        <v>0</v>
      </c>
      <c r="O183" s="87">
        <f>IF(D183&lt;400,H183+I183*'Factores generales'!$M$41+J183*'Factores generales'!$N$41,I183*'Factores generales'!$M$41+J183*'Factores generales'!$N$41)</f>
        <v>1645.5742500222482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Actividad'!$P181*'FE Sectorial'!I184</f>
        <v>0</v>
      </c>
      <c r="I185" s="92">
        <f>'Datos Actividad'!$P181*'FE Sectorial'!J184</f>
        <v>0</v>
      </c>
      <c r="J185" s="92">
        <f>'Datos Actividad'!$P181*'FE Sectorial'!K184</f>
        <v>0</v>
      </c>
      <c r="K185" s="92">
        <f>'Datos Actividad'!$P181*'FE Sectorial'!L184</f>
        <v>0</v>
      </c>
      <c r="L185" s="92">
        <f>'Datos Actividad'!$P181*'FE Sectorial'!M184</f>
        <v>0</v>
      </c>
      <c r="M185" s="92">
        <f>'Datos Actividad'!$P181*'FE Sectorial'!N184</f>
        <v>10515.654408623353</v>
      </c>
      <c r="N185" s="92">
        <f>'Datos Actividad'!$P181*'FE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Actividad'!$P182*'FE Sectorial'!I185</f>
        <v>1028.9637509247216</v>
      </c>
      <c r="I186" s="92">
        <f>'Datos Actividad'!$P182*'FE Sectorial'!J185</f>
        <v>0</v>
      </c>
      <c r="J186" s="92">
        <f>'Datos Actividad'!$P182*'FE Sectorial'!K185</f>
        <v>0</v>
      </c>
      <c r="K186" s="92">
        <f>'Datos Actividad'!$P182*'FE Sectorial'!L185</f>
        <v>5.2644657024055524E-3</v>
      </c>
      <c r="L186" s="92">
        <f>'Datos Actividad'!$P182*'FE Sectorial'!M185</f>
        <v>0</v>
      </c>
      <c r="M186" s="92">
        <f>'Datos Actividad'!$P182*'FE Sectorial'!N185</f>
        <v>0</v>
      </c>
      <c r="N186" s="92">
        <f>'Datos Actividad'!$P182*'FE Sectorial'!O185</f>
        <v>0</v>
      </c>
      <c r="O186" s="87">
        <f>IF(D186&lt;400,H186+I186*'Factores generales'!$M$41+J186*'Factores generales'!$N$41,I186*'Factores generales'!$M$41+J186*'Factores generales'!$N$41)</f>
        <v>1028.9637509247216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5170.1664042386001</v>
      </c>
      <c r="I188" s="134">
        <f t="shared" ref="I188:O188" si="46">SUM(I189:I203)</f>
        <v>262603.80855630815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26105.504834877851</v>
      </c>
      <c r="N188" s="134">
        <f t="shared" si="46"/>
        <v>0</v>
      </c>
      <c r="O188" s="134">
        <f t="shared" si="46"/>
        <v>5519850.1460867096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Actividad'!$P187*'FE Sectorial'!I190</f>
        <v>2332.1279088400497</v>
      </c>
      <c r="I191" s="92">
        <f>'Datos Actividad'!$P187*'FE Sectorial'!J190</f>
        <v>140297.36519986167</v>
      </c>
      <c r="J191" s="92">
        <f>'Datos Actividad'!$P187*'FE Sectorial'!K190</f>
        <v>0</v>
      </c>
      <c r="K191" s="92">
        <f>'Datos Actividad'!$P187*'FE Sectorial'!L190</f>
        <v>0</v>
      </c>
      <c r="L191" s="92">
        <f>'Datos Actividad'!$P187*'FE Sectorial'!M190</f>
        <v>0</v>
      </c>
      <c r="M191" s="92">
        <f>'Datos Actividad'!$P187*'FE Sectorial'!N190</f>
        <v>15351.945325319373</v>
      </c>
      <c r="N191" s="92">
        <f>'Datos Actividad'!$P187*'FE Sectorial'!O190</f>
        <v>0</v>
      </c>
      <c r="O191" s="87">
        <f>IF(D191&lt;400,H191+I191*'Factores generales'!$M$41+J191*'Factores generales'!$N$41,I191*'Factores generales'!$M$41+J191*'Factores generales'!$N$41)</f>
        <v>2948576.7971059349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Actividad'!$P189*'FE Sectorial'!I192</f>
        <v>851.57270843936453</v>
      </c>
      <c r="I193" s="92">
        <f>'Datos Actividad'!$P189*'FE Sectorial'!J192</f>
        <v>10644.658855492058</v>
      </c>
      <c r="J193" s="92">
        <f>'Datos Actividad'!$P189*'FE Sectorial'!K192</f>
        <v>0</v>
      </c>
      <c r="K193" s="92">
        <f>'Datos Actividad'!$P189*'FE Sectorial'!L192</f>
        <v>0</v>
      </c>
      <c r="L193" s="92">
        <f>'Datos Actividad'!$P189*'FE Sectorial'!M192</f>
        <v>0</v>
      </c>
      <c r="M193" s="92">
        <f>'Datos Actividad'!$P189*'FE Sectorial'!N192</f>
        <v>9833.114649040117</v>
      </c>
      <c r="N193" s="92">
        <f>'Datos Actividad'!$P189*'FE Sectorial'!O192</f>
        <v>0</v>
      </c>
      <c r="O193" s="87">
        <f>IF(D193&lt;400,H193+I193*'Factores generales'!$M$41+J193*'Factores generales'!$N$41,I193*'Factores generales'!$M$41+J193*'Factores generales'!$N$41)</f>
        <v>224389.40867377259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Actividad'!$P192*'FE Sectorial'!I195</f>
        <v>49.775747300346559</v>
      </c>
      <c r="I196" s="92">
        <f>'Datos Actividad'!$P192*'FE Sectorial'!J195</f>
        <v>15487.348293676616</v>
      </c>
      <c r="J196" s="92">
        <f>'Datos Actividad'!$P192*'FE Sectorial'!K195</f>
        <v>0</v>
      </c>
      <c r="K196" s="92">
        <f>'Datos Actividad'!$P192*'FE Sectorial'!L195</f>
        <v>0</v>
      </c>
      <c r="L196" s="92">
        <f>'Datos Actividad'!$P192*'FE Sectorial'!M195</f>
        <v>0</v>
      </c>
      <c r="M196" s="92">
        <f>'Datos Actividad'!$P192*'FE Sectorial'!N195</f>
        <v>370.36942051835865</v>
      </c>
      <c r="N196" s="92">
        <f>'Datos Actividad'!$P192*'FE Sectorial'!O195</f>
        <v>0</v>
      </c>
      <c r="O196" s="87">
        <f>IF(D196&lt;400,H196+I196*'Factores generales'!$M$41+J196*'Factores generales'!$N$41,I196*'Factores generales'!$M$41+J196*'Factores generales'!$N$41)</f>
        <v>325284.08991450927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Actividad'!$P194*'FE Sectorial'!I197</f>
        <v>1936.6900396588387</v>
      </c>
      <c r="I198" s="92">
        <f>'Datos Actividad'!$P194*'FE Sectorial'!J197</f>
        <v>38008.205018117806</v>
      </c>
      <c r="J198" s="92">
        <f>'Datos Actividad'!$P194*'FE Sectorial'!K197</f>
        <v>0</v>
      </c>
      <c r="K198" s="92">
        <f>'Datos Actividad'!$P194*'FE Sectorial'!L197</f>
        <v>0</v>
      </c>
      <c r="L198" s="92">
        <f>'Datos Actividad'!$P194*'FE Sectorial'!M197</f>
        <v>0</v>
      </c>
      <c r="M198" s="92">
        <f>'Datos Actividad'!$P194*'FE Sectorial'!N197</f>
        <v>550.07544000000007</v>
      </c>
      <c r="N198" s="92">
        <f>'Datos Actividad'!$P194*'FE Sectorial'!O197</f>
        <v>0</v>
      </c>
      <c r="O198" s="87">
        <f>IF(D198&lt;400,H198+I198*'Factores generales'!$M$41+J198*'Factores generales'!$N$41,I198*'Factores generales'!$M$41+J198*'Factores generales'!$N$41)</f>
        <v>800108.99542013276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Actividad'!$P197*'FE Sectorial'!I200</f>
        <v>0</v>
      </c>
      <c r="I201" s="92">
        <f>'Datos Actividad'!$P197*'FE Sectorial'!J200</f>
        <v>45695.344837800003</v>
      </c>
      <c r="J201" s="92">
        <f>'Datos Actividad'!$P197*'FE Sectorial'!K200</f>
        <v>0</v>
      </c>
      <c r="K201" s="92">
        <f>'Datos Actividad'!$P197*'FE Sectorial'!L200</f>
        <v>0</v>
      </c>
      <c r="L201" s="92">
        <f>'Datos Actividad'!$P197*'FE Sectorial'!M200</f>
        <v>0</v>
      </c>
      <c r="M201" s="92">
        <f>'Datos Actividad'!$P197*'FE Sectorial'!N200</f>
        <v>0</v>
      </c>
      <c r="N201" s="92">
        <f>'Datos Actividad'!$P197*'FE Sectorial'!O200</f>
        <v>0</v>
      </c>
      <c r="O201" s="87">
        <f>IF(D201&lt;400,H201+I201*'Factores generales'!$M$41+J201*'Factores generales'!$N$41,I201*'Factores generales'!$M$41+J201*'Factores generales'!$N$41)</f>
        <v>959602.24159380002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Actividad'!$P199*'FE Sectorial'!I202</f>
        <v>0</v>
      </c>
      <c r="I203" s="92">
        <f>'Datos Actividad'!$P199*'FE Sectorial'!J202</f>
        <v>12470.886351359999</v>
      </c>
      <c r="J203" s="92">
        <f>'Datos Actividad'!$P199*'FE Sectorial'!K202</f>
        <v>0</v>
      </c>
      <c r="K203" s="92">
        <f>'Datos Actividad'!$P199*'FE Sectorial'!L202</f>
        <v>0</v>
      </c>
      <c r="L203" s="92">
        <f>'Datos Actividad'!$P199*'FE Sectorial'!M202</f>
        <v>0</v>
      </c>
      <c r="M203" s="92">
        <f>'Datos Actividad'!$P199*'FE Sectorial'!N202</f>
        <v>0</v>
      </c>
      <c r="N203" s="92">
        <f>'Datos Actividad'!$P199*'FE Sectorial'!O202</f>
        <v>0</v>
      </c>
      <c r="O203" s="87">
        <f>IF(D203&lt;400,H203+I203*'Factores generales'!$M$41+J203*'Factores generales'!$N$41,I203*'Factores generales'!$M$41+J203*'Factores generales'!$N$41)</f>
        <v>261888.61337855997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5202597.1951390356</v>
      </c>
      <c r="I204" s="134">
        <f t="shared" ref="I204:O204" si="47">SUM(I205:I221)</f>
        <v>44551.683397060675</v>
      </c>
      <c r="J204" s="134">
        <f t="shared" si="47"/>
        <v>35.927666473530053</v>
      </c>
      <c r="K204" s="134">
        <f t="shared" si="47"/>
        <v>0</v>
      </c>
      <c r="L204" s="134">
        <f t="shared" si="47"/>
        <v>0</v>
      </c>
      <c r="M204" s="134">
        <f t="shared" si="47"/>
        <v>23584.807324903883</v>
      </c>
      <c r="N204" s="134">
        <f t="shared" si="47"/>
        <v>0</v>
      </c>
      <c r="O204" s="134">
        <f t="shared" si="47"/>
        <v>6149320.1230841046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Actividad'!$P203*'FE Sectorial'!I206</f>
        <v>4885.3637968640442</v>
      </c>
      <c r="I207" s="92">
        <f>'Datos Actividad'!$P203*'FE Sectorial'!J206</f>
        <v>37114.812975307199</v>
      </c>
      <c r="J207" s="92">
        <f>'Datos Actividad'!$P203*'FE Sectorial'!K206</f>
        <v>0</v>
      </c>
      <c r="K207" s="92">
        <f>'Datos Actividad'!$P203*'FE Sectorial'!L206</f>
        <v>0</v>
      </c>
      <c r="L207" s="92">
        <f>'Datos Actividad'!$P203*'FE Sectorial'!M206</f>
        <v>0</v>
      </c>
      <c r="M207" s="92">
        <f>'Datos Actividad'!$P203*'FE Sectorial'!N206</f>
        <v>22142.347616283223</v>
      </c>
      <c r="N207" s="92">
        <f>'Datos Actividad'!$P203*'FE Sectorial'!O206</f>
        <v>0</v>
      </c>
      <c r="O207" s="87">
        <f>IF(D207&lt;400,H207+I207*'Factores generales'!$M$41+J207*'Factores generales'!$N$41,I207*'Factores generales'!$M$41+J207*'Factores generales'!$N$41)</f>
        <v>784296.43627831526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Actividad'!$P205*'FE Sectorial'!I208</f>
        <v>2106441.3563002725</v>
      </c>
      <c r="I209" s="92">
        <f>'Datos Actividad'!$P205*'FE Sectorial'!J208</f>
        <v>1281.660187064238</v>
      </c>
      <c r="J209" s="92">
        <f>'Datos Actividad'!$P205*'FE Sectorial'!K208</f>
        <v>32.990944866939735</v>
      </c>
      <c r="K209" s="92">
        <f>'Datos Actividad'!$P205*'FE Sectorial'!L208</f>
        <v>0</v>
      </c>
      <c r="L209" s="92">
        <f>'Datos Actividad'!$P205*'FE Sectorial'!M208</f>
        <v>0</v>
      </c>
      <c r="M209" s="92">
        <f>'Datos Actividad'!$P205*'FE Sectorial'!N208</f>
        <v>1084.8559549702616</v>
      </c>
      <c r="N209" s="92">
        <f>'Datos Actividad'!$P205*'FE Sectorial'!O208</f>
        <v>0</v>
      </c>
      <c r="O209" s="87">
        <f>IF(D209&lt;400,H209+I209*'Factores generales'!$M$41+J209*'Factores generales'!$N$41,I209*'Factores generales'!$M$41+J209*'Factores generales'!$N$41)</f>
        <v>2143583.413137373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Actividad'!$P209*'FE Sectorial'!I212</f>
        <v>2863807.9749713894</v>
      </c>
      <c r="I213" s="92">
        <f>'Datos Actividad'!$P209*'FE Sectorial'!J212</f>
        <v>0</v>
      </c>
      <c r="J213" s="92">
        <f>'Datos Actividad'!$P209*'FE Sectorial'!K212</f>
        <v>0</v>
      </c>
      <c r="K213" s="92">
        <f>'Datos Actividad'!$P209*'FE Sectorial'!L212</f>
        <v>0</v>
      </c>
      <c r="L213" s="92">
        <f>'Datos Actividad'!$P209*'FE Sectorial'!M212</f>
        <v>0</v>
      </c>
      <c r="M213" s="92">
        <f>'Datos Actividad'!$P209*'FE Sectorial'!N212</f>
        <v>0</v>
      </c>
      <c r="N213" s="92">
        <f>'Datos Actividad'!$P209*'FE Sectorial'!O212</f>
        <v>0</v>
      </c>
      <c r="O213" s="87">
        <f>IF(D213&lt;400,H213+I213*'Factores generales'!$M$41+J213*'Factores generales'!$N$41,I213*'Factores generales'!$M$41+J213*'Factores generales'!$N$41)</f>
        <v>2863807.9749713894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Actividad'!$P211*'FE Sectorial'!I214</f>
        <v>158.3057258039446</v>
      </c>
      <c r="I215" s="92">
        <f>'Datos Actividad'!$P211*'FE Sectorial'!J214</f>
        <v>6004.7723099778495</v>
      </c>
      <c r="J215" s="92">
        <f>'Datos Actividad'!$P211*'FE Sectorial'!K214</f>
        <v>0</v>
      </c>
      <c r="K215" s="92">
        <f>'Datos Actividad'!$P211*'FE Sectorial'!L214</f>
        <v>0</v>
      </c>
      <c r="L215" s="92">
        <f>'Datos Actividad'!$P211*'FE Sectorial'!M214</f>
        <v>0</v>
      </c>
      <c r="M215" s="92">
        <f>'Datos Actividad'!$P211*'FE Sectorial'!N214</f>
        <v>236.71708529689414</v>
      </c>
      <c r="N215" s="92">
        <f>'Datos Actividad'!$P211*'FE Sectorial'!O214</f>
        <v>0</v>
      </c>
      <c r="O215" s="87">
        <f>IF(D215&lt;400,H215+I215*'Factores generales'!$M$41+J215*'Factores generales'!$N$41,I215*'Factores generales'!$M$41+J215*'Factores generales'!$N$41)</f>
        <v>126258.52423533879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Actividad'!$P214*'FE Sectorial'!I217</f>
        <v>64372.845994864954</v>
      </c>
      <c r="I218" s="92">
        <f>'Datos Actividad'!$P214*'FE Sectorial'!J217</f>
        <v>40.500360782367679</v>
      </c>
      <c r="J218" s="92">
        <f>'Datos Actividad'!$P214*'FE Sectorial'!K217</f>
        <v>1.1464648450509698</v>
      </c>
      <c r="K218" s="92">
        <f>'Datos Actividad'!$P214*'FE Sectorial'!L217</f>
        <v>0</v>
      </c>
      <c r="L218" s="92">
        <f>'Datos Actividad'!$P214*'FE Sectorial'!M217</f>
        <v>0</v>
      </c>
      <c r="M218" s="92">
        <f>'Datos Actividad'!$P214*'FE Sectorial'!N217</f>
        <v>33.725422840498659</v>
      </c>
      <c r="N218" s="92">
        <f>'Datos Actividad'!$P214*'FE Sectorial'!O217</f>
        <v>0</v>
      </c>
      <c r="O218" s="87">
        <f>IF(D218&lt;400,H218+I218*'Factores generales'!$M$41+J218*'Factores generales'!$N$41,I218*'Factores generales'!$M$41+J218*'Factores generales'!$N$41)</f>
        <v>65578.757673260479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Actividad'!$P216*'FE Sectorial'!I219</f>
        <v>162931.34834984117</v>
      </c>
      <c r="I220" s="92">
        <f>'Datos Actividad'!$P216*'FE Sectorial'!J219</f>
        <v>109.93756392901344</v>
      </c>
      <c r="J220" s="92">
        <f>'Datos Actividad'!$P216*'FE Sectorial'!K219</f>
        <v>1.7902567615393483</v>
      </c>
      <c r="K220" s="92">
        <f>'Datos Actividad'!$P216*'FE Sectorial'!L219</f>
        <v>0</v>
      </c>
      <c r="L220" s="92">
        <f>'Datos Actividad'!$P216*'FE Sectorial'!M219</f>
        <v>0</v>
      </c>
      <c r="M220" s="92">
        <f>'Datos Actividad'!$P216*'FE Sectorial'!N219</f>
        <v>87.161245512999841</v>
      </c>
      <c r="N220" s="92">
        <f>'Datos Actividad'!$P216*'FE Sectorial'!O219</f>
        <v>0</v>
      </c>
      <c r="O220" s="87">
        <f>IF(D220&lt;400,H220+I220*'Factores generales'!$M$41+J220*'Factores generales'!$N$41,I220*'Factores generales'!$M$41+J220*'Factores generales'!$N$41)</f>
        <v>165795.01678842766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9233516.9851623829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3526093.15026274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1944790.2314466445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1581302.9188160955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118379861.56449401</v>
      </c>
      <c r="I5" s="138">
        <f t="shared" si="0"/>
        <v>353147.56856533996</v>
      </c>
      <c r="J5" s="138">
        <f t="shared" si="0"/>
        <v>3103.2517922741176</v>
      </c>
      <c r="K5" s="138">
        <f t="shared" si="0"/>
        <v>660753.90567006054</v>
      </c>
      <c r="L5" s="138">
        <f t="shared" si="0"/>
        <v>1943317.2395621489</v>
      </c>
      <c r="M5" s="138">
        <f t="shared" si="0"/>
        <v>404564.62670310569</v>
      </c>
      <c r="N5" s="138">
        <f t="shared" si="0"/>
        <v>61240.28232481279</v>
      </c>
      <c r="O5" s="138">
        <f t="shared" si="0"/>
        <v>126897710.43497112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112987224.14453429</v>
      </c>
      <c r="I6" s="124">
        <f t="shared" si="1"/>
        <v>16730.396672968469</v>
      </c>
      <c r="J6" s="124">
        <f t="shared" si="1"/>
        <v>3066.3943205791065</v>
      </c>
      <c r="K6" s="124">
        <f t="shared" si="1"/>
        <v>659243.99026280746</v>
      </c>
      <c r="L6" s="124">
        <f t="shared" si="1"/>
        <v>1940901.3841221489</v>
      </c>
      <c r="M6" s="124">
        <f t="shared" si="1"/>
        <v>286034.82008614164</v>
      </c>
      <c r="N6" s="124">
        <f t="shared" si="1"/>
        <v>37081.727924812789</v>
      </c>
      <c r="O6" s="124">
        <f t="shared" si="1"/>
        <v>114428886.58904614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30916323.67745804</v>
      </c>
      <c r="I7" s="129">
        <f t="shared" si="2"/>
        <v>604.96689742777835</v>
      </c>
      <c r="J7" s="129">
        <f t="shared" si="2"/>
        <v>84.687654179805691</v>
      </c>
      <c r="K7" s="129">
        <f t="shared" si="2"/>
        <v>83287.014866117213</v>
      </c>
      <c r="L7" s="129">
        <f t="shared" si="2"/>
        <v>10496.441102790861</v>
      </c>
      <c r="M7" s="129">
        <f t="shared" si="2"/>
        <v>2668.6351880800676</v>
      </c>
      <c r="N7" s="129">
        <f t="shared" si="2"/>
        <v>12656.981849476229</v>
      </c>
      <c r="O7" s="129">
        <f t="shared" si="2"/>
        <v>30955281.155099764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18749971.466491848</v>
      </c>
      <c r="I8" s="134">
        <f t="shared" si="3"/>
        <v>347.81989106400005</v>
      </c>
      <c r="J8" s="134">
        <f t="shared" si="3"/>
        <v>45.744579026400004</v>
      </c>
      <c r="K8" s="134">
        <f t="shared" si="3"/>
        <v>50655.026769600001</v>
      </c>
      <c r="L8" s="134">
        <f t="shared" si="3"/>
        <v>6526.9579072800007</v>
      </c>
      <c r="M8" s="134">
        <f t="shared" si="3"/>
        <v>1643.66836332</v>
      </c>
      <c r="N8" s="134">
        <f t="shared" si="3"/>
        <v>6846.6281800000006</v>
      </c>
      <c r="O8" s="134">
        <f t="shared" si="3"/>
        <v>18771456.50370238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18749971.466491848</v>
      </c>
      <c r="I9" s="93">
        <f t="shared" ref="I9:O9" si="4">I10+I11+I12+I13+I14</f>
        <v>347.81989106400005</v>
      </c>
      <c r="J9" s="93">
        <f t="shared" si="4"/>
        <v>45.744579026400004</v>
      </c>
      <c r="K9" s="93">
        <f t="shared" si="4"/>
        <v>50655.026769600001</v>
      </c>
      <c r="L9" s="93">
        <f t="shared" si="4"/>
        <v>6526.9579072800007</v>
      </c>
      <c r="M9" s="93">
        <f t="shared" si="4"/>
        <v>1643.66836332</v>
      </c>
      <c r="N9" s="93">
        <f t="shared" si="4"/>
        <v>6846.6281800000006</v>
      </c>
      <c r="O9" s="93">
        <f t="shared" si="4"/>
        <v>18771456.50370238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Actividad'!$Q6*'FE Sectorial'!$H9*'FE Sectorial'!I9*'FE Sectorial'!$P9/1000</f>
        <v>536359.2971352</v>
      </c>
      <c r="I10" s="92">
        <f>'Datos Actividad'!$Q6*'FE Sectorial'!$H9*'FE Sectorial'!J9/1000/1000</f>
        <v>5.7854694000000002</v>
      </c>
      <c r="J10" s="92">
        <f>'Datos Actividad'!$Q6*'FE Sectorial'!$H9*'FE Sectorial'!K9/1000/1000</f>
        <v>8.6782041000000003</v>
      </c>
      <c r="K10" s="92">
        <f>'Datos Actividad'!$Q6*'FE Sectorial'!$H9*'FE Sectorial'!L9/1000/1000</f>
        <v>1735.6408200000001</v>
      </c>
      <c r="L10" s="92">
        <f>'Datos Actividad'!$Q6*'FE Sectorial'!$H9*'FE Sectorial'!M9/1000/1000</f>
        <v>115.709388</v>
      </c>
      <c r="M10" s="92">
        <f>'Datos Actividad'!$Q6*'FE Sectorial'!$H9*'FE Sectorial'!N9/1000/1000</f>
        <v>28.927347000000001</v>
      </c>
      <c r="N10" s="92">
        <f>'Datos Actividad'!$Q6*'FE Sectorial'!$H9*'FE Sectorial'!O9/1000/1000</f>
        <v>5538.8021000000008</v>
      </c>
      <c r="O10" s="92">
        <f>IF(D10&lt;400,H10+I10*'Factores generales'!$M$41+J10*'Factores generales'!$N$41,I10*'Factores generales'!$M$41+J10*'Factores generales'!$N$41)</f>
        <v>539171.03526359994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Actividad'!$Q7*'FE Sectorial'!$H10*'FE Sectorial'!I10*'FE Sectorial'!$P10/1000</f>
        <v>263925.434916</v>
      </c>
      <c r="I11" s="17">
        <f>'Datos Actividad'!$Q7*'FE Sectorial'!$H10*'FE Sectorial'!J10/1000/1000</f>
        <v>10.793172</v>
      </c>
      <c r="J11" s="17">
        <f>'Datos Actividad'!$Q7*'FE Sectorial'!$H10*'FE Sectorial'!K10/1000/1000</f>
        <v>2.1586344</v>
      </c>
      <c r="K11" s="17">
        <f>'Datos Actividad'!$Q7*'FE Sectorial'!$H10*'FE Sectorial'!L10/1000/1000</f>
        <v>719.54480000000001</v>
      </c>
      <c r="L11" s="17">
        <f>'Datos Actividad'!$Q7*'FE Sectorial'!$H10*'FE Sectorial'!M10/1000/1000</f>
        <v>53.965859999999999</v>
      </c>
      <c r="M11" s="17">
        <f>'Datos Actividad'!$Q7*'FE Sectorial'!$H10*'FE Sectorial'!N10/1000/1000</f>
        <v>17.988619999999997</v>
      </c>
      <c r="N11" s="17">
        <f>'Datos Actividad'!$Q7*'FE Sectorial'!$H10*'FE Sectorial'!O10/1000/1000</f>
        <v>130.52207999999999</v>
      </c>
      <c r="O11" s="17">
        <f>IF(D11&lt;400,H11+I11*'Factores generales'!$M$41+J11*'Factores generales'!$N$41,I11*'Factores generales'!$M$41+J11*'Factores generales'!$N$41)</f>
        <v>264821.26819200005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Actividad'!$Q8*'FE Sectorial'!$H11*'FE Sectorial'!I11*'FE Sectorial'!$P11/1000</f>
        <v>455571.0863352</v>
      </c>
      <c r="I12" s="92">
        <f>'Datos Actividad'!$Q8*'FE Sectorial'!$H11*'FE Sectorial'!J11/1000/1000</f>
        <v>17.836155600000001</v>
      </c>
      <c r="J12" s="92">
        <f>'Datos Actividad'!$Q8*'FE Sectorial'!$H11*'FE Sectorial'!K11/1000/1000</f>
        <v>3.5672311199999998</v>
      </c>
      <c r="K12" s="92">
        <f>'Datos Actividad'!$Q8*'FE Sectorial'!$H11*'FE Sectorial'!L11/1000/1000</f>
        <v>1189.0770400000001</v>
      </c>
      <c r="L12" s="92">
        <f>'Datos Actividad'!$Q8*'FE Sectorial'!$H11*'FE Sectorial'!M11/1000/1000</f>
        <v>89.180778000000004</v>
      </c>
      <c r="M12" s="92">
        <f>'Datos Actividad'!$Q8*'FE Sectorial'!$H11*'FE Sectorial'!N11/1000/1000</f>
        <v>29.726925999999999</v>
      </c>
      <c r="N12" s="92">
        <f>'Datos Actividad'!$Q8*'FE Sectorial'!$H11*'FE Sectorial'!O11/1000/1000</f>
        <v>1177.3040000000001</v>
      </c>
      <c r="O12" s="92">
        <f>IF(D12&lt;400,H12+I12*'Factores generales'!$M$41+J12*'Factores generales'!$N$41,I12*'Factores generales'!$M$41+J12*'Factores generales'!$N$41)</f>
        <v>457051.48725000001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Actividad'!$Q9*'FE Sectorial'!$H12*'FE Sectorial'!I12*'FE Sectorial'!$P12/1000</f>
        <v>17494115.64810545</v>
      </c>
      <c r="I13" s="17">
        <f>'Datos Actividad'!$Q9*'FE Sectorial'!$H12*'FE Sectorial'!J12/1000/1000</f>
        <v>313.40509406400002</v>
      </c>
      <c r="J13" s="17">
        <f>'Datos Actividad'!$Q9*'FE Sectorial'!$H12*'FE Sectorial'!K12/1000/1000</f>
        <v>31.340509406400002</v>
      </c>
      <c r="K13" s="17">
        <f>'Datos Actividad'!$Q9*'FE Sectorial'!$H12*'FE Sectorial'!L12/1000/1000</f>
        <v>47010.764109600001</v>
      </c>
      <c r="L13" s="17">
        <f>'Datos Actividad'!$Q9*'FE Sectorial'!$H12*'FE Sectorial'!M12/1000/1000</f>
        <v>6268.1018812800003</v>
      </c>
      <c r="M13" s="17">
        <f>'Datos Actividad'!$Q9*'FE Sectorial'!$H12*'FE Sectorial'!N12/1000/1000</f>
        <v>1567.0254703200001</v>
      </c>
      <c r="N13" s="17">
        <f>'Datos Actividad'!$Q9*'FE Sectorial'!$H12*'FE Sectorial'!O12/1000/1000</f>
        <v>0</v>
      </c>
      <c r="O13" s="17">
        <f>IF(D13&lt;400,H13+I13*'Factores generales'!$M$41+J13*'Factores generales'!$N$41,I13*'Factores generales'!$M$41+J13*'Factores generales'!$N$41)</f>
        <v>17510412.712996781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Actividad'!$Q10*'FE Sectorial'!$H13*'FE Sectorial'!I13*'FE Sectorial'!$P13/1000</f>
        <v>0</v>
      </c>
      <c r="I14" s="147">
        <f>'Datos Actividad'!$Q10*'FE Sectorial'!$H13*'FE Sectorial'!J13/1000/1000</f>
        <v>0</v>
      </c>
      <c r="J14" s="147">
        <f>'Datos Actividad'!$Q10*'FE Sectorial'!$H13*'FE Sectorial'!K13/1000/1000</f>
        <v>0</v>
      </c>
      <c r="K14" s="147">
        <f>'Datos Actividad'!$Q10*'FE Sectorial'!$H13*'FE Sectorial'!L13/1000/1000</f>
        <v>0</v>
      </c>
      <c r="L14" s="147">
        <f>'Datos Actividad'!$Q10*'FE Sectorial'!$H13*'FE Sectorial'!M13/1000/1000</f>
        <v>0</v>
      </c>
      <c r="M14" s="147">
        <f>'Datos Actividad'!$Q10*'FE Sectorial'!$H13*'FE Sectorial'!N13/1000/1000</f>
        <v>0</v>
      </c>
      <c r="N14" s="147">
        <f>'Datos Actividad'!$Q10*'FE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4889236.9637181908</v>
      </c>
      <c r="I17" s="134">
        <f t="shared" ref="I17:O17" si="5">SUM(I18:I25)</f>
        <v>127.05636536377828</v>
      </c>
      <c r="J17" s="134">
        <f t="shared" si="5"/>
        <v>24.147748053405692</v>
      </c>
      <c r="K17" s="134">
        <f t="shared" si="5"/>
        <v>13014.260996517205</v>
      </c>
      <c r="L17" s="134">
        <f t="shared" si="5"/>
        <v>1381.5868955108599</v>
      </c>
      <c r="M17" s="134">
        <f t="shared" si="5"/>
        <v>377.6061797600679</v>
      </c>
      <c r="N17" s="134">
        <f t="shared" si="5"/>
        <v>4641.0746494762288</v>
      </c>
      <c r="O17" s="134">
        <f t="shared" si="5"/>
        <v>4899390.9492873857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Actividad'!$Q14*'FE Sectorial'!$H17*'FE Sectorial'!I17*'FE Sectorial'!P17/1000</f>
        <v>1133877.1347462242</v>
      </c>
      <c r="I18" s="17">
        <f>'Datos Actividad'!$Q14*'FE Sectorial'!$H17*'FE Sectorial'!J17/1000/1000</f>
        <v>20.313280032000002</v>
      </c>
      <c r="J18" s="17">
        <f>'Datos Actividad'!$Q14*'FE Sectorial'!$H17*'FE Sectorial'!K17/1000/1000</f>
        <v>2.0313280032000001</v>
      </c>
      <c r="K18" s="17">
        <f>'Datos Actividad'!$Q14*'FE Sectorial'!$H17*'FE Sectorial'!L17/1000/1000</f>
        <v>3046.9920048000004</v>
      </c>
      <c r="L18" s="17">
        <f>'Datos Actividad'!$Q14*'FE Sectorial'!$H17*'FE Sectorial'!M17/1000/1000</f>
        <v>406.26560064</v>
      </c>
      <c r="M18" s="17">
        <f>'Datos Actividad'!$Q14*'FE Sectorial'!$H17*'FE Sectorial'!N17/1000/1000</f>
        <v>101.56640016</v>
      </c>
      <c r="N18" s="17">
        <f>'Datos Actividad'!$Q14*'FE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1134933.4253078883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Actividad'!$Q15*'FE Sectorial'!$H18*'FE Sectorial'!I18*'FE Sectorial'!P18/1000</f>
        <v>19040.140444931505</v>
      </c>
      <c r="I19" s="17">
        <f>'Datos Actividad'!$Q15*'FE Sectorial'!$H18*'FE Sectorial'!J18/1000/1000</f>
        <v>0.30479342465753417</v>
      </c>
      <c r="J19" s="17">
        <f>'Datos Actividad'!$Q15*'FE Sectorial'!$H18*'FE Sectorial'!K18/1000/1000</f>
        <v>3.0479342465753418E-2</v>
      </c>
      <c r="K19" s="17">
        <f>'Datos Actividad'!$Q15*'FE Sectorial'!$H18*'FE Sectorial'!L18/1000/1000</f>
        <v>45.719013698630121</v>
      </c>
      <c r="L19" s="17">
        <f>'Datos Actividad'!$Q15*'FE Sectorial'!$H18*'FE Sectorial'!M18/1000/1000</f>
        <v>6.0958684931506832</v>
      </c>
      <c r="M19" s="17">
        <f>'Datos Actividad'!$Q15*'FE Sectorial'!$H18*'FE Sectorial'!N18/1000/1000</f>
        <v>1.5239671232876708</v>
      </c>
      <c r="N19" s="17">
        <f>'Datos Actividad'!$Q15*'FE Sectorial'!$H18*'FE Sectorial'!O18/1000/1000</f>
        <v>1.2887671232876712</v>
      </c>
      <c r="O19" s="87">
        <f>IF(D19&lt;400,H19+I19*'Factores generales'!$M$41+J19*'Factores generales'!$N$41,I19*'Factores generales'!$M$41+J19*'Factores generales'!$N$41)</f>
        <v>19055.989703013696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Actividad'!$Q16*'FE Sectorial'!$H19*'FE Sectorial'!I19*'FE Sectorial'!P19/1000</f>
        <v>1517867.169984</v>
      </c>
      <c r="I20" s="17">
        <f>'Datos Actividad'!$Q16*'FE Sectorial'!$H19*'FE Sectorial'!J19/1000/1000</f>
        <v>26.484282</v>
      </c>
      <c r="J20" s="17">
        <f>'Datos Actividad'!$Q16*'FE Sectorial'!$H19*'FE Sectorial'!K19/1000/1000</f>
        <v>2.6484282000000001</v>
      </c>
      <c r="K20" s="17">
        <f>'Datos Actividad'!$Q16*'FE Sectorial'!$H19*'FE Sectorial'!L19/1000/1000</f>
        <v>3972.6423</v>
      </c>
      <c r="L20" s="17">
        <f>'Datos Actividad'!$Q16*'FE Sectorial'!$H19*'FE Sectorial'!M19/1000/1000</f>
        <v>529.68564000000003</v>
      </c>
      <c r="M20" s="17">
        <f>'Datos Actividad'!$Q16*'FE Sectorial'!$H19*'FE Sectorial'!N19/1000/1000</f>
        <v>132.42141000000001</v>
      </c>
      <c r="N20" s="17">
        <f>'Datos Actividad'!$Q16*'FE Sectorial'!$H19*'FE Sectorial'!O19/1000/1000</f>
        <v>0</v>
      </c>
      <c r="O20" s="87">
        <f>IF(D20&lt;400,H20+I20*'Factores generales'!$M$41+J20*'Factores generales'!$N$41,I20*'Factores generales'!$M$41+J20*'Factores generales'!$N$41)</f>
        <v>1519244.352648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Actividad'!$Q17*'FE Sectorial'!$H20*'FE Sectorial'!I20*'FE Sectorial'!P20/1000</f>
        <v>0</v>
      </c>
      <c r="I21" s="17">
        <f>'Datos Actividad'!$Q17*'FE Sectorial'!$H20*'FE Sectorial'!J20/1000/1000</f>
        <v>0</v>
      </c>
      <c r="J21" s="17">
        <f>'Datos Actividad'!$Q17*'FE Sectorial'!$H20*'FE Sectorial'!K20/1000/1000</f>
        <v>0</v>
      </c>
      <c r="K21" s="17">
        <f>'Datos Actividad'!$Q17*'FE Sectorial'!$H20*'FE Sectorial'!L20/1000/1000</f>
        <v>0</v>
      </c>
      <c r="L21" s="17">
        <f>'Datos Actividad'!$Q17*'FE Sectorial'!$H20*'FE Sectorial'!M20/1000/1000</f>
        <v>0</v>
      </c>
      <c r="M21" s="17">
        <f>'Datos Actividad'!$Q17*'FE Sectorial'!$H20*'FE Sectorial'!N20/1000/1000</f>
        <v>0</v>
      </c>
      <c r="N21" s="17">
        <f>'Datos Actividad'!$Q17*'FE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Actividad'!$Q18*'FE Sectorial'!$H21*'FE Sectorial'!I21*'FE Sectorial'!P21/1000</f>
        <v>0</v>
      </c>
      <c r="I22" s="17">
        <f>'Datos Actividad'!$Q18*'FE Sectorial'!$H21*'FE Sectorial'!J21/1000/1000</f>
        <v>0</v>
      </c>
      <c r="J22" s="17">
        <f>'Datos Actividad'!$Q18*'FE Sectorial'!$H21*'FE Sectorial'!K21/1000/1000</f>
        <v>0</v>
      </c>
      <c r="K22" s="17">
        <f>'Datos Actividad'!$Q18*'FE Sectorial'!$H21*'FE Sectorial'!L21/1000/1000</f>
        <v>0</v>
      </c>
      <c r="L22" s="17">
        <f>'Datos Actividad'!$Q18*'FE Sectorial'!$H21*'FE Sectorial'!M21/1000/1000</f>
        <v>0</v>
      </c>
      <c r="M22" s="17">
        <f>'Datos Actividad'!$Q18*'FE Sectorial'!$H21*'FE Sectorial'!N21/1000/1000</f>
        <v>0</v>
      </c>
      <c r="N22" s="17">
        <f>'Datos Actividad'!$Q18*'FE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Actividad'!$Q19*'FE Sectorial'!$H22*'FE Sectorial'!I22*'FE Sectorial'!P22/1000</f>
        <v>209862.83805882354</v>
      </c>
      <c r="I23" s="17">
        <f>'Datos Actividad'!$Q19*'FE Sectorial'!$H22*'FE Sectorial'!J22/1000/1000</f>
        <v>8.5822941176470593</v>
      </c>
      <c r="J23" s="17">
        <f>'Datos Actividad'!$Q19*'FE Sectorial'!$H22*'FE Sectorial'!K22/1000/1000</f>
        <v>1.7164588235294118</v>
      </c>
      <c r="K23" s="17">
        <f>'Datos Actividad'!$Q19*'FE Sectorial'!$H22*'FE Sectorial'!L22/1000/1000</f>
        <v>572.15294117647056</v>
      </c>
      <c r="L23" s="17">
        <f>'Datos Actividad'!$Q19*'FE Sectorial'!$H22*'FE Sectorial'!M22/1000/1000</f>
        <v>42.911470588235296</v>
      </c>
      <c r="M23" s="17">
        <f>'Datos Actividad'!$Q19*'FE Sectorial'!$H22*'FE Sectorial'!N22/1000/1000</f>
        <v>14.303823529411765</v>
      </c>
      <c r="N23" s="17">
        <f>'Datos Actividad'!$Q19*'FE Sectorial'!$H22*'FE Sectorial'!O22/1000/1000</f>
        <v>103.78588235294119</v>
      </c>
      <c r="O23" s="87">
        <f>IF(D23&lt;400,H23+I23*'Factores generales'!$M$41+J23*'Factores generales'!$N$41,I23*'Factores generales'!$M$41+J23*'Factores generales'!$N$41)</f>
        <v>210575.16847058825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Actividad'!$Q20*'FE Sectorial'!$H23*'FE Sectorial'!I23*'FE Sectorial'!P23/1000</f>
        <v>1755256.4568000003</v>
      </c>
      <c r="I24" s="17">
        <f>'Datos Actividad'!$Q20*'FE Sectorial'!$H23*'FE Sectorial'!J23/1000/1000</f>
        <v>68.720399999999998</v>
      </c>
      <c r="J24" s="17">
        <f>'Datos Actividad'!$Q20*'FE Sectorial'!$H23*'FE Sectorial'!K23/1000/1000</f>
        <v>13.74408</v>
      </c>
      <c r="K24" s="17">
        <f>'Datos Actividad'!$Q20*'FE Sectorial'!$H23*'FE Sectorial'!L23/1000/1000</f>
        <v>4581.3599999999997</v>
      </c>
      <c r="L24" s="17">
        <f>'Datos Actividad'!$Q20*'FE Sectorial'!$H23*'FE Sectorial'!M23/1000/1000</f>
        <v>343.60199999999998</v>
      </c>
      <c r="M24" s="17">
        <f>'Datos Actividad'!$Q20*'FE Sectorial'!$H23*'FE Sectorial'!N23/1000/1000</f>
        <v>114.53400000000001</v>
      </c>
      <c r="N24" s="17">
        <f>'Datos Actividad'!$Q20*'FE Sectorial'!$H23*'FE Sectorial'!O23/1000/1000</f>
        <v>4536</v>
      </c>
      <c r="O24" s="87">
        <f>IF(D24&lt;400,H24+I24*'Factores generales'!$M$41+J24*'Factores generales'!$N$41,I24*'Factores generales'!$M$41+J24*'Factores generales'!$N$41)</f>
        <v>1760960.2500000002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Actividad'!$Q21*'FE Sectorial'!$H24*'FE Sectorial'!I24*'FE Sectorial'!P24/1000</f>
        <v>253333.2236842105</v>
      </c>
      <c r="I25" s="17">
        <f>'Datos Actividad'!$Q21*'FE Sectorial'!$H24*'FE Sectorial'!J24/1000/1000</f>
        <v>2.6513157894736841</v>
      </c>
      <c r="J25" s="17">
        <f>'Datos Actividad'!$Q21*'FE Sectorial'!$H24*'FE Sectorial'!K24/1000/1000</f>
        <v>3.9769736842105265</v>
      </c>
      <c r="K25" s="17">
        <f>'Datos Actividad'!$Q21*'FE Sectorial'!$H24*'FE Sectorial'!L24/1000/1000</f>
        <v>795.39473684210532</v>
      </c>
      <c r="L25" s="17">
        <f>'Datos Actividad'!$Q21*'FE Sectorial'!$H24*'FE Sectorial'!M24/1000/1000</f>
        <v>53.026315789473678</v>
      </c>
      <c r="M25" s="17">
        <f>'Datos Actividad'!$Q21*'FE Sectorial'!$H24*'FE Sectorial'!N24/1000/1000</f>
        <v>13.256578947368419</v>
      </c>
      <c r="N25" s="17">
        <f>'Datos Actividad'!$Q21*'FE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254621.76315789472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7277115.2472479995</v>
      </c>
      <c r="I26" s="134">
        <f t="shared" ref="I26:O26" si="6">I27+I28</f>
        <v>130.09064100000001</v>
      </c>
      <c r="J26" s="134">
        <f t="shared" si="6"/>
        <v>14.795327100000002</v>
      </c>
      <c r="K26" s="134">
        <f t="shared" si="6"/>
        <v>19617.7271</v>
      </c>
      <c r="L26" s="134">
        <f t="shared" si="6"/>
        <v>2587.8962999999994</v>
      </c>
      <c r="M26" s="134">
        <f t="shared" si="6"/>
        <v>647.36064499999998</v>
      </c>
      <c r="N26" s="134">
        <f t="shared" si="6"/>
        <v>1169.2790199999999</v>
      </c>
      <c r="O26" s="134">
        <f t="shared" si="6"/>
        <v>7284433.7021100018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7277115.2472479995</v>
      </c>
      <c r="I28" s="15">
        <f t="shared" si="7"/>
        <v>130.09064100000001</v>
      </c>
      <c r="J28" s="15">
        <f t="shared" si="7"/>
        <v>14.795327100000002</v>
      </c>
      <c r="K28" s="15">
        <f t="shared" si="7"/>
        <v>19617.7271</v>
      </c>
      <c r="L28" s="15">
        <f t="shared" si="7"/>
        <v>2587.8962999999994</v>
      </c>
      <c r="M28" s="15">
        <f t="shared" si="7"/>
        <v>647.36064499999998</v>
      </c>
      <c r="N28" s="15">
        <f t="shared" si="7"/>
        <v>1169.2790199999999</v>
      </c>
      <c r="O28" s="15">
        <f t="shared" si="7"/>
        <v>7284433.7021100018</v>
      </c>
    </row>
    <row r="29" spans="1:15" outlineLevel="1" x14ac:dyDescent="0.25">
      <c r="B29" s="1" t="s">
        <v>7</v>
      </c>
      <c r="G29" s="1"/>
      <c r="H29" s="95">
        <f t="shared" ref="H29:O29" si="8">H30+H31</f>
        <v>123372.45188399998</v>
      </c>
      <c r="I29" s="95">
        <f t="shared" si="8"/>
        <v>1.6688730000000001</v>
      </c>
      <c r="J29" s="95">
        <f t="shared" si="8"/>
        <v>1.9062975000000002</v>
      </c>
      <c r="K29" s="95">
        <f t="shared" si="8"/>
        <v>393.5059</v>
      </c>
      <c r="L29" s="95">
        <f t="shared" si="8"/>
        <v>26.488859999999999</v>
      </c>
      <c r="M29" s="95">
        <f t="shared" si="8"/>
        <v>6.8135649999999996</v>
      </c>
      <c r="N29" s="95">
        <f t="shared" si="8"/>
        <v>1163.6131</v>
      </c>
      <c r="O29" s="95">
        <f t="shared" si="8"/>
        <v>123998.45044199999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Actividad'!$Q26*'FE Sectorial'!$H29*'FE Sectorial'!I29*'FE Sectorial'!P29/1000</f>
        <v>112142.65616399999</v>
      </c>
      <c r="I30" s="17">
        <f>'Datos Actividad'!$Q26*'FE Sectorial'!$H29*'FE Sectorial'!J29/1000/1000</f>
        <v>1.209633</v>
      </c>
      <c r="J30" s="17">
        <f>'Datos Actividad'!$Q26*'FE Sectorial'!$H29*'FE Sectorial'!K29/1000/1000</f>
        <v>1.8144495000000003</v>
      </c>
      <c r="K30" s="17">
        <f>'Datos Actividad'!$Q26*'FE Sectorial'!$H29*'FE Sectorial'!L29/1000/1000</f>
        <v>362.88990000000001</v>
      </c>
      <c r="L30" s="17">
        <f>'Datos Actividad'!$Q26*'FE Sectorial'!$H29*'FE Sectorial'!M29/1000/1000</f>
        <v>24.19266</v>
      </c>
      <c r="M30" s="17">
        <f>'Datos Actividad'!$Q26*'FE Sectorial'!$H29*'FE Sectorial'!N29/1000/1000</f>
        <v>6.048165</v>
      </c>
      <c r="N30" s="17">
        <f>'Datos Actividad'!$Q26*'FE Sectorial'!$H29*'FE Sectorial'!O29/1000/1000</f>
        <v>1158.0595000000001</v>
      </c>
      <c r="O30" s="87">
        <f>IF(D30&lt;400,H30+I30*'Factores generales'!$M$41+J30*'Factores generales'!$N$41,I30*'Factores generales'!$M$41+J30*'Factores generales'!$N$41)</f>
        <v>112730.53780199999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Actividad'!$Q27*'FE Sectorial'!$H30*'FE Sectorial'!I30*'FE Sectorial'!P30/1000</f>
        <v>11229.79572</v>
      </c>
      <c r="I31" s="17">
        <f>'Datos Actividad'!$Q27*'FE Sectorial'!$H30*'FE Sectorial'!J30/1000/1000</f>
        <v>0.45923999999999998</v>
      </c>
      <c r="J31" s="17">
        <f>'Datos Actividad'!$Q27*'FE Sectorial'!$H30*'FE Sectorial'!K30/1000/1000</f>
        <v>9.1847999999999999E-2</v>
      </c>
      <c r="K31" s="17">
        <f>'Datos Actividad'!$Q27*'FE Sectorial'!$H30*'FE Sectorial'!L30/1000/1000</f>
        <v>30.616</v>
      </c>
      <c r="L31" s="17">
        <f>'Datos Actividad'!$Q27*'FE Sectorial'!$H30*'FE Sectorial'!M30/1000/1000</f>
        <v>2.2961999999999998</v>
      </c>
      <c r="M31" s="17">
        <f>'Datos Actividad'!$Q27*'FE Sectorial'!$H30*'FE Sectorial'!N30/1000/1000</f>
        <v>0.76539999999999997</v>
      </c>
      <c r="N31" s="17">
        <f>'Datos Actividad'!$Q27*'FE Sectorial'!$H30*'FE Sectorial'!O30/1000/1000</f>
        <v>5.5536000000000003</v>
      </c>
      <c r="O31" s="87">
        <f>IF(D31&lt;400,H31+I31*'Factores generales'!$M$41+J31*'Factores generales'!$N$41,I31*'Factores generales'!$M$41+J31*'Factores generales'!$N$41)</f>
        <v>11267.912639999999</v>
      </c>
    </row>
    <row r="32" spans="1:15" outlineLevel="1" x14ac:dyDescent="0.25">
      <c r="B32" s="1" t="s">
        <v>6</v>
      </c>
      <c r="G32" s="1"/>
      <c r="H32" s="17">
        <f>H33+H34+H35</f>
        <v>7153742.7953639999</v>
      </c>
      <c r="I32" s="17">
        <f t="shared" ref="I32:O32" si="9">I33+I34+I35</f>
        <v>128.42176800000001</v>
      </c>
      <c r="J32" s="17">
        <f t="shared" si="9"/>
        <v>12.889029600000001</v>
      </c>
      <c r="K32" s="17">
        <f t="shared" si="9"/>
        <v>19224.2212</v>
      </c>
      <c r="L32" s="17">
        <f t="shared" si="9"/>
        <v>2561.4074399999995</v>
      </c>
      <c r="M32" s="17">
        <f t="shared" si="9"/>
        <v>640.54707999999994</v>
      </c>
      <c r="N32" s="17">
        <f t="shared" si="9"/>
        <v>5.6659199999999998</v>
      </c>
      <c r="O32" s="17">
        <f t="shared" si="9"/>
        <v>7160435.2516680015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Actividad'!$Q29*'FE Sectorial'!$H32*'FE Sectorial'!I32*'FE Sectorial'!P32/1000</f>
        <v>7142285.8801800003</v>
      </c>
      <c r="I33" s="17">
        <f>'Datos Actividad'!$Q29*'FE Sectorial'!$H32*'FE Sectorial'!J32/1000/1000</f>
        <v>127.95324000000001</v>
      </c>
      <c r="J33" s="17">
        <f>'Datos Actividad'!$Q29*'FE Sectorial'!$H32*'FE Sectorial'!K32/1000/1000</f>
        <v>12.795324000000001</v>
      </c>
      <c r="K33" s="17">
        <f>'Datos Actividad'!$Q29*'FE Sectorial'!$H32*'FE Sectorial'!L32/1000/1000</f>
        <v>19192.986000000001</v>
      </c>
      <c r="L33" s="17">
        <f>'Datos Actividad'!$Q29*'FE Sectorial'!$H32*'FE Sectorial'!M32/1000/1000</f>
        <v>2559.0647999999997</v>
      </c>
      <c r="M33" s="17">
        <f>'Datos Actividad'!$Q29*'FE Sectorial'!$H32*'FE Sectorial'!N32/1000/1000</f>
        <v>639.76619999999991</v>
      </c>
      <c r="N33" s="17">
        <f>'Datos Actividad'!$Q29*'FE Sectorial'!$H32*'FE Sectorial'!O32/1000/1000</f>
        <v>0</v>
      </c>
      <c r="O33" s="87">
        <f>IF(D33&lt;400,H33+I33*'Factores generales'!$M$41+J33*'Factores generales'!$N$41,I33*'Factores generales'!$M$41+J33*'Factores generales'!$N$41)</f>
        <v>7148939.4486600012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Actividad'!$Q30*'FE Sectorial'!$H33*'FE Sectorial'!I33*'FE Sectorial'!P33/1000</f>
        <v>11456.915183999999</v>
      </c>
      <c r="I34" s="17">
        <f>'Datos Actividad'!$Q30*'FE Sectorial'!$H33*'FE Sectorial'!J33/1000/1000</f>
        <v>0.468528</v>
      </c>
      <c r="J34" s="17">
        <f>'Datos Actividad'!$Q30*'FE Sectorial'!$H33*'FE Sectorial'!K33/1000/1000</f>
        <v>9.3705599999999986E-2</v>
      </c>
      <c r="K34" s="17">
        <f>'Datos Actividad'!$Q30*'FE Sectorial'!$H33*'FE Sectorial'!L33/1000/1000</f>
        <v>31.235199999999999</v>
      </c>
      <c r="L34" s="17">
        <f>'Datos Actividad'!$Q30*'FE Sectorial'!$H33*'FE Sectorial'!M33/1000/1000</f>
        <v>2.3426399999999998</v>
      </c>
      <c r="M34" s="17">
        <f>'Datos Actividad'!$Q30*'FE Sectorial'!$H33*'FE Sectorial'!N33/1000/1000</f>
        <v>0.78088000000000002</v>
      </c>
      <c r="N34" s="17">
        <f>'Datos Actividad'!$Q30*'FE Sectorial'!$H33*'FE Sectorial'!O33/1000/1000</f>
        <v>5.6659199999999998</v>
      </c>
      <c r="O34" s="87">
        <f>IF(D34&lt;400,H34+I34*'Factores generales'!$M$41+J34*'Factores generales'!$N$41,I34*'Factores generales'!$M$41+J34*'Factores generales'!$N$41)</f>
        <v>11495.803008000001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Actividad'!$Q31*'FE Sectorial'!$H34*'FE Sectorial'!I34*'FE Sectorial'!P34/1000</f>
        <v>0</v>
      </c>
      <c r="I35" s="17">
        <f>'Datos Actividad'!$Q31*'FE Sectorial'!$H34*'FE Sectorial'!J34/1000/1000</f>
        <v>0</v>
      </c>
      <c r="J35" s="17">
        <f>'Datos Actividad'!$Q31*'FE Sectorial'!$H34*'FE Sectorial'!K34/1000/1000</f>
        <v>0</v>
      </c>
      <c r="K35" s="17">
        <f>'Datos Actividad'!$Q31*'FE Sectorial'!$H34*'FE Sectorial'!L34/1000/1000</f>
        <v>0</v>
      </c>
      <c r="L35" s="17">
        <f>'Datos Actividad'!$Q31*'FE Sectorial'!$H34*'FE Sectorial'!M34/1000/1000</f>
        <v>0</v>
      </c>
      <c r="M35" s="17">
        <f>'Datos Actividad'!$Q31*'FE Sectorial'!$H34*'FE Sectorial'!N34/1000/1000</f>
        <v>0</v>
      </c>
      <c r="N35" s="17">
        <f>'Datos Actividad'!$Q31*'FE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19377074.756868649</v>
      </c>
      <c r="I36" s="129">
        <f t="shared" si="10"/>
        <v>3100.6384177285481</v>
      </c>
      <c r="J36" s="129">
        <f t="shared" si="10"/>
        <v>429.60503146098768</v>
      </c>
      <c r="K36" s="129">
        <f t="shared" si="10"/>
        <v>57448.11644385285</v>
      </c>
      <c r="L36" s="129">
        <f t="shared" si="10"/>
        <v>367855.59909657168</v>
      </c>
      <c r="M36" s="129">
        <f t="shared" si="10"/>
        <v>6366.6612318634425</v>
      </c>
      <c r="N36" s="129">
        <f t="shared" si="10"/>
        <v>5279.879804390107</v>
      </c>
      <c r="O36" s="129">
        <f t="shared" si="10"/>
        <v>19715107.598393854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5777429.495270093</v>
      </c>
      <c r="I37" s="134">
        <f t="shared" ref="I37:O37" si="11">SUM(I38:I44)</f>
        <v>64.138230104528063</v>
      </c>
      <c r="J37" s="134">
        <f t="shared" si="11"/>
        <v>21.083416898172107</v>
      </c>
      <c r="K37" s="134">
        <f t="shared" si="11"/>
        <v>11159.974989363422</v>
      </c>
      <c r="L37" s="134">
        <f t="shared" si="11"/>
        <v>3169.3628020832111</v>
      </c>
      <c r="M37" s="134">
        <f t="shared" si="11"/>
        <v>476.34313789106147</v>
      </c>
      <c r="N37" s="134">
        <f t="shared" si="11"/>
        <v>22.769360000000002</v>
      </c>
      <c r="O37" s="134">
        <f t="shared" si="11"/>
        <v>5785312.2573407209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Actividad'!$Q34*'FE Sectorial'!$H37*'FE Sectorial'!I37*'FE Sectorial'!P37/1000</f>
        <v>2175021.1028264398</v>
      </c>
      <c r="I38" s="17">
        <f>'Datos Actividad'!$Q34*'FE Sectorial'!$H37*'FE Sectorial'!J37/1000/1000</f>
        <v>38.965255920000004</v>
      </c>
      <c r="J38" s="17">
        <f>'Datos Actividad'!$Q34*'FE Sectorial'!$H37*'FE Sectorial'!K37/1000/1000</f>
        <v>3.8965255920000001</v>
      </c>
      <c r="K38" s="17">
        <f>'Datos Actividad'!$Q34*'FE Sectorial'!$H37*'FE Sectorial'!L37/1000/1000</f>
        <v>5844.7883879999999</v>
      </c>
      <c r="L38" s="17">
        <f>'Datos Actividad'!$Q34*'FE Sectorial'!$H37*'FE Sectorial'!M37/1000/1000</f>
        <v>1168.9576776000001</v>
      </c>
      <c r="M38" s="17">
        <f>'Datos Actividad'!$Q34*'FE Sectorial'!$H37*'FE Sectorial'!N37/1000/1000</f>
        <v>194.82627960000005</v>
      </c>
      <c r="N38" s="17">
        <f>'Datos Actividad'!$Q34*'FE Sectorial'!$H37*'FE Sectorial'!O37/1000/1000</f>
        <v>0</v>
      </c>
      <c r="O38" s="87">
        <f>IF(D38&lt;400,H38+I38*'Factores generales'!$M$41+J38*'Factores generales'!$N$41,I38*'Factores generales'!$M$41+J38*'Factores generales'!$N$41)</f>
        <v>2177047.2961342796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Actividad'!$Q35*'FE Sectorial'!$H38*'FE Sectorial'!I38*'FE Sectorial'!P38/1000</f>
        <v>2363317.7560983901</v>
      </c>
      <c r="I39" s="17">
        <f>'Datos Actividad'!$Q35*'FE Sectorial'!$H38*'FE Sectorial'!J38/1000/1000</f>
        <v>9.135360479700001</v>
      </c>
      <c r="J39" s="17">
        <f>'Datos Actividad'!$Q35*'FE Sectorial'!$H38*'FE Sectorial'!K38/1000/1000</f>
        <v>0.9135360479700001</v>
      </c>
      <c r="K39" s="17">
        <f>'Datos Actividad'!$Q35*'FE Sectorial'!$H38*'FE Sectorial'!L38/1000/1000</f>
        <v>1370.3040719550002</v>
      </c>
      <c r="L39" s="17">
        <f>'Datos Actividad'!$Q35*'FE Sectorial'!$H38*'FE Sectorial'!M38/1000/1000</f>
        <v>274.06081439100001</v>
      </c>
      <c r="M39" s="17">
        <f>'Datos Actividad'!$Q35*'FE Sectorial'!$H38*'FE Sectorial'!N38/1000/1000</f>
        <v>45.676802398500001</v>
      </c>
      <c r="N39" s="17">
        <f>'Datos Actividad'!$Q35*'FE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2363792.7948433347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Actividad'!$Q36*'FE Sectorial'!$H39*'FE Sectorial'!I39*'FE Sectorial'!P39/1000</f>
        <v>231423.32579842082</v>
      </c>
      <c r="I40" s="17">
        <f>'Datos Actividad'!$Q36*'FE Sectorial'!$H39*'FE Sectorial'!J39/1000/1000</f>
        <v>5.2384292136000008</v>
      </c>
      <c r="J40" s="17">
        <f>'Datos Actividad'!$Q36*'FE Sectorial'!$H39*'FE Sectorial'!K39/1000/1000</f>
        <v>0.52384292135999999</v>
      </c>
      <c r="K40" s="17">
        <f>'Datos Actividad'!$Q36*'FE Sectorial'!$H39*'FE Sectorial'!L39/1000/1000</f>
        <v>785.7643820400001</v>
      </c>
      <c r="L40" s="17">
        <f>'Datos Actividad'!$Q36*'FE Sectorial'!$H39*'FE Sectorial'!M39/1000/1000</f>
        <v>157.152876408</v>
      </c>
      <c r="M40" s="17">
        <f>'Datos Actividad'!$Q36*'FE Sectorial'!$H39*'FE Sectorial'!N39/1000/1000</f>
        <v>26.192146068000007</v>
      </c>
      <c r="N40" s="17">
        <f>'Datos Actividad'!$Q36*'FE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231695.72411752801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Actividad'!$Q37*'FE Sectorial'!$H40*'FE Sectorial'!I40*'FE Sectorial'!P40/1000</f>
        <v>18.926621999999998</v>
      </c>
      <c r="I41" s="17">
        <f>'Datos Actividad'!$Q37*'FE Sectorial'!$H40*'FE Sectorial'!J40/1000/1000</f>
        <v>7.7400000000000006E-4</v>
      </c>
      <c r="J41" s="17">
        <f>'Datos Actividad'!$Q37*'FE Sectorial'!$H40*'FE Sectorial'!K40/1000/1000</f>
        <v>1.548E-4</v>
      </c>
      <c r="K41" s="17">
        <f>'Datos Actividad'!$Q37*'FE Sectorial'!$H40*'FE Sectorial'!L40/1000/1000</f>
        <v>5.16E-2</v>
      </c>
      <c r="L41" s="17">
        <f>'Datos Actividad'!$Q37*'FE Sectorial'!$H40*'FE Sectorial'!M40/1000/1000</f>
        <v>2.5800000000000003E-3</v>
      </c>
      <c r="M41" s="17">
        <f>'Datos Actividad'!$Q37*'FE Sectorial'!$H40*'FE Sectorial'!N40/1000/1000</f>
        <v>1.2900000000000001E-3</v>
      </c>
      <c r="N41" s="17">
        <f>'Datos Actividad'!$Q37*'FE Sectorial'!$H40*'FE Sectorial'!O40/1000/1000</f>
        <v>9.3600000000000003E-3</v>
      </c>
      <c r="O41" s="87">
        <f>IF(D41&lt;400,H41+I41*'Factores generales'!$M$41+J41*'Factores generales'!$N$41,I41*'Factores generales'!$M$41+J41*'Factores generales'!$N$41)</f>
        <v>18.990863999999998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Actividad'!$Q38*'FE Sectorial'!$H41*'FE Sectorial'!I41*'FE Sectorial'!P41/1000</f>
        <v>8807.2391880000014</v>
      </c>
      <c r="I42" s="17">
        <f>'Datos Actividad'!$Q38*'FE Sectorial'!$H41*'FE Sectorial'!J41/1000/1000</f>
        <v>0.34481400000000001</v>
      </c>
      <c r="J42" s="17">
        <f>'Datos Actividad'!$Q38*'FE Sectorial'!$H41*'FE Sectorial'!K41/1000/1000</f>
        <v>6.8962800000000005E-2</v>
      </c>
      <c r="K42" s="17">
        <f>'Datos Actividad'!$Q38*'FE Sectorial'!$H41*'FE Sectorial'!L41/1000/1000</f>
        <v>22.987599999999997</v>
      </c>
      <c r="L42" s="17">
        <f>'Datos Actividad'!$Q38*'FE Sectorial'!$H41*'FE Sectorial'!M41/1000/1000</f>
        <v>1.1493800000000001</v>
      </c>
      <c r="M42" s="17">
        <f>'Datos Actividad'!$Q38*'FE Sectorial'!$H41*'FE Sectorial'!N41/1000/1000</f>
        <v>0.57469000000000003</v>
      </c>
      <c r="N42" s="17">
        <f>'Datos Actividad'!$Q38*'FE Sectorial'!$H41*'FE Sectorial'!O41/1000/1000</f>
        <v>22.76</v>
      </c>
      <c r="O42" s="87">
        <f>IF(D42&lt;400,H42+I42*'Factores generales'!$M$41+J42*'Factores generales'!$N$41,I42*'Factores generales'!$M$41+J42*'Factores generales'!$N$41)</f>
        <v>8835.8587500000031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Actividad'!$Q39*'FE Sectorial'!$H42*'FE Sectorial'!I42*'FE Sectorial'!P42/1000</f>
        <v>858064.14473684202</v>
      </c>
      <c r="I43" s="17">
        <f>'Datos Actividad'!$Q39*'FE Sectorial'!$H42*'FE Sectorial'!J42/1000/1000</f>
        <v>8.9802631578947363</v>
      </c>
      <c r="J43" s="17">
        <f>'Datos Actividad'!$Q39*'FE Sectorial'!$H42*'FE Sectorial'!K42/1000/1000</f>
        <v>13.470394736842106</v>
      </c>
      <c r="K43" s="17">
        <f>'Datos Actividad'!$Q39*'FE Sectorial'!$H42*'FE Sectorial'!L42/1000/1000</f>
        <v>2694.0789473684213</v>
      </c>
      <c r="L43" s="17">
        <f>'Datos Actividad'!$Q39*'FE Sectorial'!$H42*'FE Sectorial'!M42/1000/1000</f>
        <v>1347.0394736842106</v>
      </c>
      <c r="M43" s="17">
        <f>'Datos Actividad'!$Q39*'FE Sectorial'!$H42*'FE Sectorial'!N42/1000/1000</f>
        <v>179.60526315789471</v>
      </c>
      <c r="N43" s="17">
        <f>'Datos Actividad'!$Q39*'FE Sectorial'!$H42*'FE Sectorial'!O42/1000/1000</f>
        <v>0</v>
      </c>
      <c r="O43" s="87">
        <f>IF(D43&lt;400,H43+I43*'Factores generales'!$M$41+J43*'Factores generales'!$N$41,I43*'Factores generales'!$M$41+J43*'Factores generales'!$N$41)</f>
        <v>862428.55263157887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Actividad'!$Q40*'FE Sectorial'!$H43*'FE Sectorial'!I43*'FE Sectorial'!P43/1000</f>
        <v>140777.00000000003</v>
      </c>
      <c r="I44" s="17">
        <f>'Datos Actividad'!$Q40*'FE Sectorial'!$H43*'FE Sectorial'!J43/1000/1000</f>
        <v>1.4733333333333334</v>
      </c>
      <c r="J44" s="17">
        <f>'Datos Actividad'!$Q40*'FE Sectorial'!$H43*'FE Sectorial'!K43/1000/1000</f>
        <v>2.2100000000000004</v>
      </c>
      <c r="K44" s="17">
        <f>'Datos Actividad'!$Q40*'FE Sectorial'!$H43*'FE Sectorial'!L43/1000/1000</f>
        <v>442.00000000000006</v>
      </c>
      <c r="L44" s="17">
        <f>'Datos Actividad'!$Q40*'FE Sectorial'!$H43*'FE Sectorial'!M43/1000/1000</f>
        <v>221.00000000000003</v>
      </c>
      <c r="M44" s="17">
        <f>'Datos Actividad'!$Q40*'FE Sectorial'!$H43*'FE Sectorial'!N43/1000/1000</f>
        <v>29.466666666666672</v>
      </c>
      <c r="N44" s="17">
        <f>'Datos Actividad'!$Q40*'FE Sectorial'!$H43*'FE Sectorial'!O43/1000/1000</f>
        <v>0</v>
      </c>
      <c r="O44" s="87">
        <f>IF(D44&lt;400,H44+I44*'Factores generales'!$M$41+J44*'Factores generales'!$N$41,I44*'Factores generales'!$M$41+J44*'Factores generales'!$N$41)</f>
        <v>141493.04000000004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813548.26187870395</v>
      </c>
      <c r="I45" s="134">
        <f t="shared" ref="I45:O45" si="12">I46</f>
        <v>14.574624672000001</v>
      </c>
      <c r="J45" s="134">
        <f t="shared" si="12"/>
        <v>1.4574624672000001</v>
      </c>
      <c r="K45" s="134">
        <f t="shared" si="12"/>
        <v>2186.1937008000004</v>
      </c>
      <c r="L45" s="134">
        <f t="shared" si="12"/>
        <v>437.23874016000002</v>
      </c>
      <c r="M45" s="134">
        <f t="shared" si="12"/>
        <v>72.873123359999994</v>
      </c>
      <c r="N45" s="134">
        <f t="shared" si="12"/>
        <v>0</v>
      </c>
      <c r="O45" s="134">
        <f t="shared" si="12"/>
        <v>814306.14236164792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Actividad'!$Q42*'FE Sectorial'!$H45*'FE Sectorial'!I45*'FE Sectorial'!P45/1000</f>
        <v>813548.26187870395</v>
      </c>
      <c r="I46" s="17">
        <f>'Datos Actividad'!$Q42*'FE Sectorial'!$H45*'FE Sectorial'!J45/1000/1000</f>
        <v>14.574624672000001</v>
      </c>
      <c r="J46" s="17">
        <f>'Datos Actividad'!$Q42*'FE Sectorial'!$H45*'FE Sectorial'!K45/1000/1000</f>
        <v>1.4574624672000001</v>
      </c>
      <c r="K46" s="17">
        <f>'Datos Actividad'!$Q42*'FE Sectorial'!$H45*'FE Sectorial'!L45/1000/1000</f>
        <v>2186.1937008000004</v>
      </c>
      <c r="L46" s="17">
        <f>'Datos Actividad'!$Q42*'FE Sectorial'!$H45*'FE Sectorial'!M45/1000/1000</f>
        <v>437.23874016000002</v>
      </c>
      <c r="M46" s="17">
        <f>'Datos Actividad'!$Q42*'FE Sectorial'!$H45*'FE Sectorial'!N45/1000/1000</f>
        <v>72.873123359999994</v>
      </c>
      <c r="N46" s="17">
        <f>'Datos Actividad'!$Q42*'FE Sectorial'!$H45*'FE Sectorial'!O45/1000/1000</f>
        <v>0</v>
      </c>
      <c r="O46" s="87">
        <f>IF(D46&lt;400,H46+I46*'Factores generales'!$M$41+J46*'Factores generales'!$N$41,I46*'Factores generales'!$M$41+J46*'Factores generales'!$N$41)</f>
        <v>814306.14236164792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1662021.7171764241</v>
      </c>
      <c r="I47" s="134">
        <f t="shared" ref="I47:O47" si="13">SUM(I48:I55)</f>
        <v>122.30704058491779</v>
      </c>
      <c r="J47" s="134">
        <f t="shared" si="13"/>
        <v>17.355763351501373</v>
      </c>
      <c r="K47" s="134">
        <f t="shared" si="13"/>
        <v>5200.4980664954583</v>
      </c>
      <c r="L47" s="134">
        <f t="shared" si="13"/>
        <v>13218.704701877274</v>
      </c>
      <c r="M47" s="134">
        <f t="shared" si="13"/>
        <v>329.01262162362963</v>
      </c>
      <c r="N47" s="134">
        <f t="shared" si="13"/>
        <v>20.850639999999999</v>
      </c>
      <c r="O47" s="134">
        <f t="shared" si="13"/>
        <v>1809712.3266676725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Actividad'!$Q44*'FE Sectorial'!$H47*'FE Sectorial'!I47*'FE Sectorial'!P47/1000</f>
        <v>1550048.482788024</v>
      </c>
      <c r="I48" s="17">
        <f>'Datos Actividad'!$Q44*'FE Sectorial'!$H47*'FE Sectorial'!J47/1000/1000</f>
        <v>27.768942444629992</v>
      </c>
      <c r="J48" s="17">
        <f>'Datos Actividad'!$Q44*'FE Sectorial'!$H47*'FE Sectorial'!K47/1000/1000</f>
        <v>2.7768942444629996</v>
      </c>
      <c r="K48" s="17">
        <f>'Datos Actividad'!$Q44*'FE Sectorial'!$H47*'FE Sectorial'!L47/1000/1000</f>
        <v>4165.3413666944989</v>
      </c>
      <c r="L48" s="17">
        <f>'Datos Actividad'!$Q44*'FE Sectorial'!$H47*'FE Sectorial'!M47/1000/1000</f>
        <v>833.06827333889987</v>
      </c>
      <c r="M48" s="17">
        <f>'Datos Actividad'!$Q44*'FE Sectorial'!$H47*'FE Sectorial'!N47/1000/1000</f>
        <v>138.84471222314994</v>
      </c>
      <c r="N48" s="17">
        <f>'Datos Actividad'!$Q44*'FE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1551492.4677951448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Actividad'!$Q45*'FE Sectorial'!$H48*'FE Sectorial'!I48*'FE Sectorial'!P48/1000</f>
        <v>99583.826760000011</v>
      </c>
      <c r="I49" s="17">
        <f>'Datos Actividad'!$Q45*'FE Sectorial'!$H48*'FE Sectorial'!J48/1000/1000</f>
        <v>1.7375737499999999</v>
      </c>
      <c r="J49" s="17">
        <f>'Datos Actividad'!$Q45*'FE Sectorial'!$H48*'FE Sectorial'!K48/1000/1000</f>
        <v>0.17375737499999999</v>
      </c>
      <c r="K49" s="17">
        <f>'Datos Actividad'!$Q45*'FE Sectorial'!$H48*'FE Sectorial'!L48/1000/1000</f>
        <v>260.63606249999998</v>
      </c>
      <c r="L49" s="17">
        <f>'Datos Actividad'!$Q45*'FE Sectorial'!$H48*'FE Sectorial'!M48/1000/1000</f>
        <v>52.127212499999999</v>
      </c>
      <c r="M49" s="17">
        <f>'Datos Actividad'!$Q45*'FE Sectorial'!$H48*'FE Sectorial'!N48/1000/1000</f>
        <v>8.6878687499999998</v>
      </c>
      <c r="N49" s="17">
        <f>'Datos Actividad'!$Q45*'FE Sectorial'!$H48*'FE Sectorial'!O48/1000/1000</f>
        <v>0</v>
      </c>
      <c r="O49" s="87">
        <f>IF(D49&lt;400,H49+I49*'Factores generales'!$M$41+J49*'Factores generales'!$N$41,I49*'Factores generales'!$M$41+J49*'Factores generales'!$N$41)</f>
        <v>99674.180594999998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Actividad'!$Q46*'FE Sectorial'!$H49*'FE Sectorial'!I49*'FE Sectorial'!P49/1000</f>
        <v>5343.6162779999986</v>
      </c>
      <c r="I50" s="17">
        <f>'Datos Actividad'!$Q46*'FE Sectorial'!$H49*'FE Sectorial'!J49/1000/1000</f>
        <v>0.218526</v>
      </c>
      <c r="J50" s="17">
        <f>'Datos Actividad'!$Q46*'FE Sectorial'!$H49*'FE Sectorial'!K49/1000/1000</f>
        <v>4.37052E-2</v>
      </c>
      <c r="K50" s="17">
        <f>'Datos Actividad'!$Q46*'FE Sectorial'!$H49*'FE Sectorial'!L49/1000/1000</f>
        <v>14.5684</v>
      </c>
      <c r="L50" s="17">
        <f>'Datos Actividad'!$Q46*'FE Sectorial'!$H49*'FE Sectorial'!M49/1000/1000</f>
        <v>0.72841999999999996</v>
      </c>
      <c r="M50" s="17">
        <f>'Datos Actividad'!$Q46*'FE Sectorial'!$H49*'FE Sectorial'!N49/1000/1000</f>
        <v>0.36420999999999998</v>
      </c>
      <c r="N50" s="17">
        <f>'Datos Actividad'!$Q46*'FE Sectorial'!$H49*'FE Sectorial'!O49/1000/1000</f>
        <v>2.6426399999999997</v>
      </c>
      <c r="O50" s="87">
        <f>IF(D50&lt;400,H50+I50*'Factores generales'!$M$41+J50*'Factores generales'!$N$41,I50*'Factores generales'!$M$41+J50*'Factores generales'!$N$41)</f>
        <v>5361.7539359999982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Actividad'!$Q47*'FE Sectorial'!$H50*'FE Sectorial'!I50*'FE Sectorial'!P50/1000</f>
        <v>0</v>
      </c>
      <c r="I51" s="17">
        <f>'Datos Actividad'!$Q47*'FE Sectorial'!$H50*'FE Sectorial'!J50/1000/1000</f>
        <v>0</v>
      </c>
      <c r="J51" s="17">
        <f>'Datos Actividad'!$Q47*'FE Sectorial'!$H50*'FE Sectorial'!K50/1000/1000</f>
        <v>0</v>
      </c>
      <c r="K51" s="17">
        <f>'Datos Actividad'!$Q47*'FE Sectorial'!$H50*'FE Sectorial'!L50/1000/1000</f>
        <v>0</v>
      </c>
      <c r="L51" s="17">
        <f>'Datos Actividad'!$Q47*'FE Sectorial'!$H50*'FE Sectorial'!M50/1000/1000</f>
        <v>0</v>
      </c>
      <c r="M51" s="17">
        <f>'Datos Actividad'!$Q47*'FE Sectorial'!$H50*'FE Sectorial'!N50/1000/1000</f>
        <v>0</v>
      </c>
      <c r="N51" s="17">
        <f>'Datos Actividad'!$Q47*'FE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Actividad'!$Q48*'FE Sectorial'!$H51*'FE Sectorial'!I51*'FE Sectorial'!P51/1000</f>
        <v>7045.7913503999998</v>
      </c>
      <c r="I52" s="17">
        <f>'Datos Actividad'!$Q48*'FE Sectorial'!$H51*'FE Sectorial'!J51/1000/1000</f>
        <v>0.27585119999999996</v>
      </c>
      <c r="J52" s="17">
        <f>'Datos Actividad'!$Q48*'FE Sectorial'!$H51*'FE Sectorial'!K51/1000/1000</f>
        <v>5.5170240000000002E-2</v>
      </c>
      <c r="K52" s="17">
        <f>'Datos Actividad'!$Q48*'FE Sectorial'!$H51*'FE Sectorial'!L51/1000/1000</f>
        <v>18.390080000000001</v>
      </c>
      <c r="L52" s="17">
        <f>'Datos Actividad'!$Q48*'FE Sectorial'!$H51*'FE Sectorial'!M51/1000/1000</f>
        <v>0.91950399999999999</v>
      </c>
      <c r="M52" s="17">
        <f>'Datos Actividad'!$Q48*'FE Sectorial'!$H51*'FE Sectorial'!N51/1000/1000</f>
        <v>0.45975199999999999</v>
      </c>
      <c r="N52" s="17">
        <f>'Datos Actividad'!$Q48*'FE Sectorial'!$H51*'FE Sectorial'!O51/1000/1000</f>
        <v>18.207999999999998</v>
      </c>
      <c r="O52" s="87">
        <f>IF(D52&lt;400,H52+I52*'Factores generales'!$M$41+J52*'Factores generales'!$N$41,I52*'Factores generales'!$M$41+J52*'Factores generales'!$N$41)</f>
        <v>7068.6869999999999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Actividad'!$Q49*'FE Sectorial'!$H52*'FE Sectorial'!I52*'FE Sectorial'!P52/1000</f>
        <v>263446.5768518346</v>
      </c>
      <c r="I53" s="17">
        <f>'Datos Actividad'!$Q49*'FE Sectorial'!$H52*'FE Sectorial'!J52/1000/1000</f>
        <v>90.843647190287797</v>
      </c>
      <c r="J53" s="17">
        <f>'Datos Actividad'!$Q49*'FE Sectorial'!$H52*'FE Sectorial'!K52/1000/1000</f>
        <v>12.112486292038373</v>
      </c>
      <c r="K53" s="17">
        <f>'Datos Actividad'!$Q49*'FE Sectorial'!$H52*'FE Sectorial'!L52/1000/1000</f>
        <v>302.81215730095931</v>
      </c>
      <c r="L53" s="17">
        <f>'Datos Actividad'!$Q49*'FE Sectorial'!$H52*'FE Sectorial'!M52/1000/1000</f>
        <v>12112.486292038373</v>
      </c>
      <c r="M53" s="17">
        <f>'Datos Actividad'!$Q49*'FE Sectorial'!$H52*'FE Sectorial'!N52/1000/1000</f>
        <v>151.40607865047966</v>
      </c>
      <c r="N53" s="17">
        <f>'Datos Actividad'!$Q49*'FE Sectorial'!$H52*'FE Sectorial'!O52/1000/1000</f>
        <v>0</v>
      </c>
      <c r="O53" s="87">
        <f>IF(D53&lt;400,H53+I53*'Factores generales'!$M$41+J53*'Factores generales'!$N$41,I53*'Factores generales'!$M$41+J53*'Factores generales'!$N$41)</f>
        <v>5662.5873415279393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Actividad'!$Q50*'FE Sectorial'!$H53*'FE Sectorial'!I53*'FE Sectorial'!P53/1000</f>
        <v>139741.875</v>
      </c>
      <c r="I54" s="17">
        <f>'Datos Actividad'!$Q50*'FE Sectorial'!$H53*'FE Sectorial'!J53/1000/1000</f>
        <v>1.4624999999999999</v>
      </c>
      <c r="J54" s="17">
        <f>'Datos Actividad'!$Q50*'FE Sectorial'!$H53*'FE Sectorial'!K53/1000/1000</f>
        <v>2.1937500000000005</v>
      </c>
      <c r="K54" s="17">
        <f>'Datos Actividad'!$Q50*'FE Sectorial'!$H53*'FE Sectorial'!L53/1000/1000</f>
        <v>438.75</v>
      </c>
      <c r="L54" s="17">
        <f>'Datos Actividad'!$Q50*'FE Sectorial'!$H53*'FE Sectorial'!M53/1000/1000</f>
        <v>219.375</v>
      </c>
      <c r="M54" s="17">
        <f>'Datos Actividad'!$Q50*'FE Sectorial'!$H53*'FE Sectorial'!N53/1000/1000</f>
        <v>29.25</v>
      </c>
      <c r="N54" s="17">
        <f>'Datos Actividad'!$Q50*'FE Sectorial'!$H53*'FE Sectorial'!O53/1000/1000</f>
        <v>0</v>
      </c>
      <c r="O54" s="87">
        <f>IF(D54&lt;400,H54+I54*'Factores generales'!$M$41+J54*'Factores generales'!$N$41,I54*'Factores generales'!$M$41+J54*'Factores generales'!$N$41)</f>
        <v>140452.65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Actividad'!$Q51*'FE Sectorial'!$H54*'FE Sectorial'!I54*'FE Sectorial'!P54/1000</f>
        <v>0</v>
      </c>
      <c r="I55" s="17">
        <f>'Datos Actividad'!$Q51*'FE Sectorial'!$H54*'FE Sectorial'!J54/1000/1000</f>
        <v>0</v>
      </c>
      <c r="J55" s="17">
        <f>'Datos Actividad'!$Q51*'FE Sectorial'!$H54*'FE Sectorial'!K54/1000/1000</f>
        <v>0</v>
      </c>
      <c r="K55" s="17">
        <f>'Datos Actividad'!$Q51*'FE Sectorial'!$H54*'FE Sectorial'!L54/1000/1000</f>
        <v>0</v>
      </c>
      <c r="L55" s="17">
        <f>'Datos Actividad'!$Q51*'FE Sectorial'!$H54*'FE Sectorial'!M54/1000/1000</f>
        <v>0</v>
      </c>
      <c r="M55" s="17">
        <f>'Datos Actividad'!$Q51*'FE Sectorial'!$H54*'FE Sectorial'!N54/1000/1000</f>
        <v>0</v>
      </c>
      <c r="N55" s="17">
        <f>'Datos Actividad'!$Q51*'FE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662390.45826940809</v>
      </c>
      <c r="I56" s="134">
        <f>SUM(I57:I62)</f>
        <v>584.49763793428781</v>
      </c>
      <c r="J56" s="134">
        <f t="shared" ref="J56:O56" si="14">SUM(J57:J62)</f>
        <v>77.725482906438373</v>
      </c>
      <c r="K56" s="134">
        <f t="shared" si="14"/>
        <v>3680.2586469009593</v>
      </c>
      <c r="L56" s="134">
        <f t="shared" si="14"/>
        <v>70760.394066358378</v>
      </c>
      <c r="M56" s="134">
        <f t="shared" si="14"/>
        <v>1010.2205223704796</v>
      </c>
      <c r="N56" s="134">
        <f t="shared" si="14"/>
        <v>886.40444000000002</v>
      </c>
      <c r="O56" s="134">
        <f t="shared" si="14"/>
        <v>698759.80836702394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Actividad'!$Q53*'FE Sectorial'!$H56*'FE Sectorial'!I56*'FE Sectorial'!P56/1000</f>
        <v>603818.38420120801</v>
      </c>
      <c r="I57" s="17">
        <f>'Datos Actividad'!$Q53*'FE Sectorial'!$H56*'FE Sectorial'!J56/1000/1000</f>
        <v>10.817337744</v>
      </c>
      <c r="J57" s="17">
        <f>'Datos Actividad'!$Q53*'FE Sectorial'!$H56*'FE Sectorial'!K56/1000/1000</f>
        <v>1.0817337744000002</v>
      </c>
      <c r="K57" s="17">
        <f>'Datos Actividad'!$Q53*'FE Sectorial'!$H56*'FE Sectorial'!L56/1000/1000</f>
        <v>1622.6006616000002</v>
      </c>
      <c r="L57" s="17">
        <f>'Datos Actividad'!$Q53*'FE Sectorial'!$H56*'FE Sectorial'!M56/1000/1000</f>
        <v>324.52013232000002</v>
      </c>
      <c r="M57" s="17">
        <f>'Datos Actividad'!$Q53*'FE Sectorial'!$H56*'FE Sectorial'!N56/1000/1000</f>
        <v>54.086688720000005</v>
      </c>
      <c r="N57" s="17">
        <f>'Datos Actividad'!$Q53*'FE Sectorial'!$H56*'FE Sectorial'!O56/1000/1000</f>
        <v>0</v>
      </c>
      <c r="O57" s="87">
        <f>IF(D57&lt;400,H57+I57*'Factores generales'!$M$41+J57*'Factores generales'!$N$41,I57*'Factores generales'!$M$41+J57*'Factores generales'!$N$41)</f>
        <v>604380.88576389605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Actividad'!$Q54*'FE Sectorial'!$H57*'FE Sectorial'!I57*'FE Sectorial'!P57/1000</f>
        <v>1416.3422129999999</v>
      </c>
      <c r="I58" s="17">
        <f>'Datos Actividad'!$Q54*'FE Sectorial'!$H57*'FE Sectorial'!J57/1000/1000</f>
        <v>5.7921E-2</v>
      </c>
      <c r="J58" s="17">
        <f>'Datos Actividad'!$Q54*'FE Sectorial'!$H57*'FE Sectorial'!K57/1000/1000</f>
        <v>1.1584199999999999E-2</v>
      </c>
      <c r="K58" s="17">
        <f>'Datos Actividad'!$Q54*'FE Sectorial'!$H57*'FE Sectorial'!L57/1000/1000</f>
        <v>3.8614000000000002</v>
      </c>
      <c r="L58" s="17">
        <f>'Datos Actividad'!$Q54*'FE Sectorial'!$H57*'FE Sectorial'!M57/1000/1000</f>
        <v>0.19306999999999999</v>
      </c>
      <c r="M58" s="17">
        <f>'Datos Actividad'!$Q54*'FE Sectorial'!$H57*'FE Sectorial'!N57/1000/1000</f>
        <v>9.6534999999999996E-2</v>
      </c>
      <c r="N58" s="17">
        <f>'Datos Actividad'!$Q54*'FE Sectorial'!$H57*'FE Sectorial'!O57/1000/1000</f>
        <v>0.70044000000000006</v>
      </c>
      <c r="O58" s="87">
        <f>IF(D58&lt;400,H58+I58*'Factores generales'!$M$41+J58*'Factores generales'!$N$41,I58*'Factores generales'!$M$41+J58*'Factores generales'!$N$41)</f>
        <v>1421.149656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Actividad'!$Q55*'FE Sectorial'!$H58*'FE Sectorial'!I58*'FE Sectorial'!P58/1000</f>
        <v>57155.7318552</v>
      </c>
      <c r="I59" s="17">
        <f>'Datos Actividad'!$Q55*'FE Sectorial'!$H58*'FE Sectorial'!J58/1000/1000</f>
        <v>2.2377155999999996</v>
      </c>
      <c r="J59" s="17">
        <f>'Datos Actividad'!$Q55*'FE Sectorial'!$H58*'FE Sectorial'!K58/1000/1000</f>
        <v>0.44754311999999991</v>
      </c>
      <c r="K59" s="17">
        <f>'Datos Actividad'!$Q55*'FE Sectorial'!$H58*'FE Sectorial'!L58/1000/1000</f>
        <v>149.18104</v>
      </c>
      <c r="L59" s="17">
        <f>'Datos Actividad'!$Q55*'FE Sectorial'!$H58*'FE Sectorial'!M58/1000/1000</f>
        <v>7.4590519999999998</v>
      </c>
      <c r="M59" s="17">
        <f>'Datos Actividad'!$Q55*'FE Sectorial'!$H58*'FE Sectorial'!N58/1000/1000</f>
        <v>3.7295259999999999</v>
      </c>
      <c r="N59" s="17">
        <f>'Datos Actividad'!$Q55*'FE Sectorial'!$H58*'FE Sectorial'!O58/1000/1000</f>
        <v>147.70400000000001</v>
      </c>
      <c r="O59" s="87">
        <f>IF(D59&lt;400,H59+I59*'Factores generales'!$M$41+J59*'Factores generales'!$N$41,I59*'Factores generales'!$M$41+J59*'Factores generales'!$N$41)</f>
        <v>57341.462249999997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Actividad'!$Q56*'FE Sectorial'!$H59*'FE Sectorial'!I59*'FE Sectorial'!P59/1000</f>
        <v>926893.98755999992</v>
      </c>
      <c r="I60" s="17">
        <f>'Datos Actividad'!$Q56*'FE Sectorial'!$H59*'FE Sectorial'!J59/1000/1000</f>
        <v>319.61861640000001</v>
      </c>
      <c r="J60" s="17">
        <f>'Datos Actividad'!$Q56*'FE Sectorial'!$H59*'FE Sectorial'!K59/1000/1000</f>
        <v>42.615815519999998</v>
      </c>
      <c r="K60" s="17">
        <f>'Datos Actividad'!$Q56*'FE Sectorial'!$H59*'FE Sectorial'!L59/1000/1000</f>
        <v>1065.3953879999999</v>
      </c>
      <c r="L60" s="17">
        <f>'Datos Actividad'!$Q56*'FE Sectorial'!$H59*'FE Sectorial'!M59/1000/1000</f>
        <v>42615.815519999996</v>
      </c>
      <c r="M60" s="17">
        <f>'Datos Actividad'!$Q56*'FE Sectorial'!$H59*'FE Sectorial'!N59/1000/1000</f>
        <v>532.69769399999996</v>
      </c>
      <c r="N60" s="17">
        <f>'Datos Actividad'!$Q56*'FE Sectorial'!$H59*'FE Sectorial'!O59/1000/1000</f>
        <v>0</v>
      </c>
      <c r="O60" s="87">
        <f>IF(D60&lt;400,H60+I60*'Factores generales'!$M$41+J60*'Factores generales'!$N$41,I60*'Factores generales'!$M$41+J60*'Factores generales'!$N$41)</f>
        <v>19922.893755600002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Actividad'!$Q57*'FE Sectorial'!$H60*'FE Sectorial'!I60*'FE Sectorial'!P60/1000</f>
        <v>280451.80800000002</v>
      </c>
      <c r="I61" s="17">
        <f>'Datos Actividad'!$Q57*'FE Sectorial'!$H60*'FE Sectorial'!J60/1000/1000</f>
        <v>86.346000000000004</v>
      </c>
      <c r="J61" s="17">
        <f>'Datos Actividad'!$Q57*'FE Sectorial'!$H60*'FE Sectorial'!K60/1000/1000</f>
        <v>11.512799999999999</v>
      </c>
      <c r="K61" s="17">
        <f>'Datos Actividad'!$Q57*'FE Sectorial'!$H60*'FE Sectorial'!L60/1000/1000</f>
        <v>287.82</v>
      </c>
      <c r="L61" s="17">
        <f>'Datos Actividad'!$Q57*'FE Sectorial'!$H60*'FE Sectorial'!M60/1000/1000</f>
        <v>5756.4</v>
      </c>
      <c r="M61" s="17">
        <f>'Datos Actividad'!$Q57*'FE Sectorial'!$H60*'FE Sectorial'!N60/1000/1000</f>
        <v>143.91</v>
      </c>
      <c r="N61" s="17">
        <f>'Datos Actividad'!$Q57*'FE Sectorial'!$H60*'FE Sectorial'!O60/1000/1000</f>
        <v>738</v>
      </c>
      <c r="O61" s="87">
        <f>IF(D61&lt;400,H61+I61*'Factores generales'!$M$41+J61*'Factores generales'!$N$41,I61*'Factores generales'!$M$41+J61*'Factores generales'!$N$41)</f>
        <v>5382.2339999999995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Actividad'!$Q58*'FE Sectorial'!$H61*'FE Sectorial'!I61*'FE Sectorial'!P61/1000</f>
        <v>479718.13685183466</v>
      </c>
      <c r="I62" s="17">
        <f>'Datos Actividad'!$Q58*'FE Sectorial'!$H61*'FE Sectorial'!J61/1000/1000</f>
        <v>165.42004719028779</v>
      </c>
      <c r="J62" s="17">
        <f>'Datos Actividad'!$Q58*'FE Sectorial'!$H61*'FE Sectorial'!K61/1000/1000</f>
        <v>22.056006292038376</v>
      </c>
      <c r="K62" s="17">
        <f>'Datos Actividad'!$Q58*'FE Sectorial'!$H61*'FE Sectorial'!L61/1000/1000</f>
        <v>551.40015730095934</v>
      </c>
      <c r="L62" s="17">
        <f>'Datos Actividad'!$Q58*'FE Sectorial'!$H61*'FE Sectorial'!M61/1000/1000</f>
        <v>22056.006292038375</v>
      </c>
      <c r="M62" s="17">
        <f>'Datos Actividad'!$Q58*'FE Sectorial'!$H61*'FE Sectorial'!N61/1000/1000</f>
        <v>275.70007865047967</v>
      </c>
      <c r="N62" s="17">
        <f>'Datos Actividad'!$Q58*'FE Sectorial'!$H61*'FE Sectorial'!O61/1000/1000</f>
        <v>0</v>
      </c>
      <c r="O62" s="87">
        <f>IF(D62&lt;400,H62+I62*'Factores generales'!$M$41+J62*'Factores generales'!$N$41,I62*'Factores generales'!$M$41+J62*'Factores generales'!$N$41)</f>
        <v>10311.182941527941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2680087.16792124</v>
      </c>
      <c r="I63" s="134">
        <f>SUM(I64:I69)</f>
        <v>1974.0226061102881</v>
      </c>
      <c r="J63" s="134">
        <f t="shared" ref="J63:O63" si="15">SUM(J64:J69)</f>
        <v>261.6476121240384</v>
      </c>
      <c r="K63" s="134">
        <f t="shared" si="15"/>
        <v>13620.526737300961</v>
      </c>
      <c r="L63" s="134">
        <f t="shared" si="15"/>
        <v>258080.17431963838</v>
      </c>
      <c r="M63" s="134">
        <f t="shared" si="15"/>
        <v>3449.2541872504794</v>
      </c>
      <c r="N63" s="134">
        <f t="shared" si="15"/>
        <v>40.620759999999997</v>
      </c>
      <c r="O63" s="134">
        <f t="shared" si="15"/>
        <v>2802652.4024080075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Actividad'!$Q60*'FE Sectorial'!$H63*'FE Sectorial'!I63*'FE Sectorial'!P63/1000</f>
        <v>2666215.8006818402</v>
      </c>
      <c r="I64" s="17">
        <f>'Datos Actividad'!$Q60*'FE Sectorial'!$H63*'FE Sectorial'!J63/1000/1000</f>
        <v>47.764953120000001</v>
      </c>
      <c r="J64" s="17">
        <f>'Datos Actividad'!$Q60*'FE Sectorial'!$H63*'FE Sectorial'!K63/1000/1000</f>
        <v>4.7764953119999998</v>
      </c>
      <c r="K64" s="17">
        <f>'Datos Actividad'!$Q60*'FE Sectorial'!$H63*'FE Sectorial'!L63/1000/1000</f>
        <v>7164.7429680000005</v>
      </c>
      <c r="L64" s="17">
        <f>'Datos Actividad'!$Q60*'FE Sectorial'!$H63*'FE Sectorial'!M63/1000/1000</f>
        <v>1432.9485935999999</v>
      </c>
      <c r="M64" s="17">
        <f>'Datos Actividad'!$Q60*'FE Sectorial'!$H63*'FE Sectorial'!N63/1000/1000</f>
        <v>238.82476559999998</v>
      </c>
      <c r="N64" s="17">
        <f>'Datos Actividad'!$Q60*'FE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2668699.5782440798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Actividad'!$Q61*'FE Sectorial'!$H64*'FE Sectorial'!I64*'FE Sectorial'!P64/1000</f>
        <v>4797.8986770000001</v>
      </c>
      <c r="I65" s="17">
        <f>'Datos Actividad'!$Q61*'FE Sectorial'!$H64*'FE Sectorial'!J64/1000/1000</f>
        <v>0.19620899999999999</v>
      </c>
      <c r="J65" s="17">
        <f>'Datos Actividad'!$Q61*'FE Sectorial'!$H64*'FE Sectorial'!K64/1000/1000</f>
        <v>3.92418E-2</v>
      </c>
      <c r="K65" s="17">
        <f>'Datos Actividad'!$Q61*'FE Sectorial'!$H64*'FE Sectorial'!L64/1000/1000</f>
        <v>13.0806</v>
      </c>
      <c r="L65" s="17">
        <f>'Datos Actividad'!$Q61*'FE Sectorial'!$H64*'FE Sectorial'!M64/1000/1000</f>
        <v>0.65403</v>
      </c>
      <c r="M65" s="17">
        <f>'Datos Actividad'!$Q61*'FE Sectorial'!$H64*'FE Sectorial'!N64/1000/1000</f>
        <v>0.327015</v>
      </c>
      <c r="N65" s="17">
        <f>'Datos Actividad'!$Q61*'FE Sectorial'!$H64*'FE Sectorial'!O64/1000/1000</f>
        <v>2.3727600000000004</v>
      </c>
      <c r="O65" s="87">
        <f>IF(D65&lt;400,H65+I65*'Factores generales'!$M$41+J65*'Factores generales'!$N$41,I65*'Factores generales'!$M$41+J65*'Factores generales'!$N$41)</f>
        <v>4814.1840240000001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Actividad'!$Q62*'FE Sectorial'!$H65*'FE Sectorial'!I65*'FE Sectorial'!P65/1000</f>
        <v>9073.4685623999994</v>
      </c>
      <c r="I66" s="17">
        <f>'Datos Actividad'!$Q62*'FE Sectorial'!$H65*'FE Sectorial'!J65/1000/1000</f>
        <v>0.35523719999999998</v>
      </c>
      <c r="J66" s="17">
        <f>'Datos Actividad'!$Q62*'FE Sectorial'!$H65*'FE Sectorial'!K65/1000/1000</f>
        <v>7.1047439999999989E-2</v>
      </c>
      <c r="K66" s="17">
        <f>'Datos Actividad'!$Q62*'FE Sectorial'!$H65*'FE Sectorial'!L65/1000/1000</f>
        <v>23.682479999999998</v>
      </c>
      <c r="L66" s="17">
        <f>'Datos Actividad'!$Q62*'FE Sectorial'!$H65*'FE Sectorial'!M65/1000/1000</f>
        <v>1.184124</v>
      </c>
      <c r="M66" s="17">
        <f>'Datos Actividad'!$Q62*'FE Sectorial'!$H65*'FE Sectorial'!N65/1000/1000</f>
        <v>0.59206199999999998</v>
      </c>
      <c r="N66" s="17">
        <f>'Datos Actividad'!$Q62*'FE Sectorial'!$H65*'FE Sectorial'!O65/1000/1000</f>
        <v>23.448</v>
      </c>
      <c r="O66" s="87">
        <f>IF(D66&lt;400,H66+I66*'Factores generales'!$M$41+J66*'Factores generales'!$N$41,I66*'Factores generales'!$M$41+J66*'Factores generales'!$N$41)</f>
        <v>9102.9532499999987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Actividad'!$Q63*'FE Sectorial'!$H66*'FE Sectorial'!I66*'FE Sectorial'!P66/1000</f>
        <v>5252399.26284</v>
      </c>
      <c r="I67" s="17">
        <f>'Datos Actividad'!$Q63*'FE Sectorial'!$H66*'FE Sectorial'!J66/1000/1000</f>
        <v>1811.1721596</v>
      </c>
      <c r="J67" s="17">
        <f>'Datos Actividad'!$Q63*'FE Sectorial'!$H66*'FE Sectorial'!K66/1000/1000</f>
        <v>241.48962127999999</v>
      </c>
      <c r="K67" s="17">
        <f>'Datos Actividad'!$Q63*'FE Sectorial'!$H66*'FE Sectorial'!L66/1000/1000</f>
        <v>6037.2405319999998</v>
      </c>
      <c r="L67" s="17">
        <f>'Datos Actividad'!$Q63*'FE Sectorial'!$H66*'FE Sectorial'!M66/1000/1000</f>
        <v>241489.62127999999</v>
      </c>
      <c r="M67" s="17">
        <f>'Datos Actividad'!$Q63*'FE Sectorial'!$H66*'FE Sectorial'!N66/1000/1000</f>
        <v>3018.6202659999999</v>
      </c>
      <c r="N67" s="17">
        <f>'Datos Actividad'!$Q63*'FE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112896.3979484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Actividad'!$Q64*'FE Sectorial'!$H67*'FE Sectorial'!I67*'FE Sectorial'!P67/1000</f>
        <v>5624.2367999999988</v>
      </c>
      <c r="I68" s="17">
        <f>'Datos Actividad'!$Q64*'FE Sectorial'!$H67*'FE Sectorial'!J67/1000/1000</f>
        <v>1.7315999999999996</v>
      </c>
      <c r="J68" s="17">
        <f>'Datos Actividad'!$Q64*'FE Sectorial'!$H67*'FE Sectorial'!K67/1000/1000</f>
        <v>0.23087999999999997</v>
      </c>
      <c r="K68" s="17">
        <f>'Datos Actividad'!$Q64*'FE Sectorial'!$H67*'FE Sectorial'!L67/1000/1000</f>
        <v>5.7719999999999994</v>
      </c>
      <c r="L68" s="17">
        <f>'Datos Actividad'!$Q64*'FE Sectorial'!$H67*'FE Sectorial'!M67/1000/1000</f>
        <v>115.43999999999998</v>
      </c>
      <c r="M68" s="17">
        <f>'Datos Actividad'!$Q64*'FE Sectorial'!$H67*'FE Sectorial'!N67/1000/1000</f>
        <v>2.8859999999999997</v>
      </c>
      <c r="N68" s="17">
        <f>'Datos Actividad'!$Q64*'FE Sectorial'!$H67*'FE Sectorial'!O67/1000/1000</f>
        <v>14.799999999999999</v>
      </c>
      <c r="O68" s="87">
        <f>IF(D68&lt;400,H68+I68*'Factores generales'!$M$41+J68*'Factores generales'!$N$41,I68*'Factores generales'!$M$41+J68*'Factores generales'!$N$41)</f>
        <v>107.93639999999998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Actividad'!$Q65*'FE Sectorial'!$H68*'FE Sectorial'!I68*'FE Sectorial'!P68/1000</f>
        <v>327127.09685183468</v>
      </c>
      <c r="I69" s="17">
        <f>'Datos Actividad'!$Q65*'FE Sectorial'!$H68*'FE Sectorial'!J68/1000/1000</f>
        <v>112.80244719028781</v>
      </c>
      <c r="J69" s="17">
        <f>'Datos Actividad'!$Q65*'FE Sectorial'!$H68*'FE Sectorial'!K68/1000/1000</f>
        <v>15.040326292038374</v>
      </c>
      <c r="K69" s="17">
        <f>'Datos Actividad'!$Q65*'FE Sectorial'!$H68*'FE Sectorial'!L68/1000/1000</f>
        <v>376.0081573009594</v>
      </c>
      <c r="L69" s="17">
        <f>'Datos Actividad'!$Q65*'FE Sectorial'!$H68*'FE Sectorial'!M68/1000/1000</f>
        <v>15040.326292038375</v>
      </c>
      <c r="M69" s="17">
        <f>'Datos Actividad'!$Q65*'FE Sectorial'!$H68*'FE Sectorial'!N68/1000/1000</f>
        <v>188.0040786504797</v>
      </c>
      <c r="N69" s="17">
        <f>'Datos Actividad'!$Q65*'FE Sectorial'!$H68*'FE Sectorial'!O68/1000/1000</f>
        <v>0</v>
      </c>
      <c r="O69" s="87">
        <f>IF(D69&lt;400,H69+I69*'Factores generales'!$M$41+J69*'Factores generales'!$N$41,I69*'Factores generales'!$M$41+J69*'Factores generales'!$N$41)</f>
        <v>7031.35254152794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7781597.6563527808</v>
      </c>
      <c r="I70" s="134">
        <f t="shared" si="16"/>
        <v>341.0982783225262</v>
      </c>
      <c r="J70" s="134">
        <f t="shared" si="16"/>
        <v>50.335293713637384</v>
      </c>
      <c r="K70" s="134">
        <f t="shared" si="16"/>
        <v>21600.664302992049</v>
      </c>
      <c r="L70" s="134">
        <f t="shared" si="16"/>
        <v>22189.724466454489</v>
      </c>
      <c r="M70" s="134">
        <f t="shared" si="16"/>
        <v>1028.9576393677924</v>
      </c>
      <c r="N70" s="134">
        <f t="shared" si="16"/>
        <v>4309.2346043901071</v>
      </c>
      <c r="O70" s="134">
        <f t="shared" si="16"/>
        <v>7804364.6612487817</v>
      </c>
    </row>
    <row r="71" spans="1:15" outlineLevel="1" x14ac:dyDescent="0.25">
      <c r="B71" s="1" t="s">
        <v>36</v>
      </c>
      <c r="G71" s="1"/>
      <c r="H71" s="15">
        <f>H72+H73+H74+H76</f>
        <v>2202865.5603581993</v>
      </c>
      <c r="I71" s="15">
        <f>SUM(I72:I76)</f>
        <v>134.66955726554528</v>
      </c>
      <c r="J71" s="15">
        <f t="shared" ref="J71:O71" si="17">SUM(J72:J76)</f>
        <v>22.946875785517925</v>
      </c>
      <c r="K71" s="15">
        <f t="shared" si="17"/>
        <v>6449.7566068635861</v>
      </c>
      <c r="L71" s="15">
        <f t="shared" si="17"/>
        <v>8175.0830915917923</v>
      </c>
      <c r="M71" s="15">
        <f t="shared" si="17"/>
        <v>412.17233303090575</v>
      </c>
      <c r="N71" s="15">
        <f t="shared" si="17"/>
        <v>2216.0542787817258</v>
      </c>
      <c r="O71" s="15">
        <f t="shared" si="17"/>
        <v>2212807.1525542862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Actividad'!$Q68*'FE Sectorial'!$H71*'FE Sectorial'!I71*'FE Sectorial'!P71/1000</f>
        <v>1783348.3553030638</v>
      </c>
      <c r="I72" s="17">
        <f>'Datos Actividad'!$Q68*'FE Sectorial'!$H71*'FE Sectorial'!J71/1000/1000</f>
        <v>31.948483151999998</v>
      </c>
      <c r="J72" s="17">
        <f>'Datos Actividad'!$Q68*'FE Sectorial'!$H71*'FE Sectorial'!K71/1000/1000</f>
        <v>3.1948483151999998</v>
      </c>
      <c r="K72" s="17">
        <f>'Datos Actividad'!$Q68*'FE Sectorial'!$H71*'FE Sectorial'!L71/1000/1000</f>
        <v>4792.2724728000003</v>
      </c>
      <c r="L72" s="17">
        <f>'Datos Actividad'!$Q68*'FE Sectorial'!$H71*'FE Sectorial'!M71/1000/1000</f>
        <v>958.45449455999994</v>
      </c>
      <c r="M72" s="17">
        <f>'Datos Actividad'!$Q68*'FE Sectorial'!$H71*'FE Sectorial'!N71/1000/1000</f>
        <v>159.74241576</v>
      </c>
      <c r="N72" s="17">
        <f>'Datos Actividad'!$Q68*'FE Sectorial'!$H71*'FE Sectorial'!O71/1000/1000</f>
        <v>0</v>
      </c>
      <c r="O72" s="87">
        <f>IF(D72&lt;400,H72+I72*'Factores generales'!$M$41+J72*'Factores generales'!$N$41,I72*'Factores generales'!$M$41+J72*'Factores generales'!$N$41)</f>
        <v>1785009.6764269678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Actividad'!$Q69*'FE Sectorial'!$H72*'FE Sectorial'!I72*'FE Sectorial'!P72/1000</f>
        <v>255.50939700000001</v>
      </c>
      <c r="I73" s="17">
        <f>'Datos Actividad'!$Q69*'FE Sectorial'!$H72*'FE Sectorial'!J72/1000/1000</f>
        <v>1.0449E-2</v>
      </c>
      <c r="J73" s="17">
        <f>'Datos Actividad'!$Q69*'FE Sectorial'!$H72*'FE Sectorial'!K72/1000/1000</f>
        <v>2.0897999999999997E-3</v>
      </c>
      <c r="K73" s="17">
        <f>'Datos Actividad'!$Q69*'FE Sectorial'!$H72*'FE Sectorial'!L72/1000/1000</f>
        <v>0.6966</v>
      </c>
      <c r="L73" s="17">
        <f>'Datos Actividad'!$Q69*'FE Sectorial'!$H72*'FE Sectorial'!M72/1000/1000</f>
        <v>3.483E-2</v>
      </c>
      <c r="M73" s="17">
        <f>'Datos Actividad'!$Q69*'FE Sectorial'!$H72*'FE Sectorial'!N72/1000/1000</f>
        <v>1.7415E-2</v>
      </c>
      <c r="N73" s="17">
        <f>'Datos Actividad'!$Q69*'FE Sectorial'!$H72*'FE Sectorial'!O72/1000/1000</f>
        <v>0.12636</v>
      </c>
      <c r="O73" s="87">
        <f>IF(D73&lt;400,H73+I73*'Factores generales'!$M$41+J73*'Factores generales'!$N$41,I73*'Factores generales'!$M$41+J73*'Factores generales'!$N$41)</f>
        <v>256.37666400000001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Actividad'!$Q70*'FE Sectorial'!$H73*'FE Sectorial'!I73*'FE Sectorial'!P73/1000</f>
        <v>286021.38157894736</v>
      </c>
      <c r="I74" s="17">
        <f>'Datos Actividad'!$Q70*'FE Sectorial'!$H73*'FE Sectorial'!J73/1000/1000</f>
        <v>2.9934210526315788</v>
      </c>
      <c r="J74" s="17">
        <f>'Datos Actividad'!$Q70*'FE Sectorial'!$H73*'FE Sectorial'!K73/1000/1000</f>
        <v>4.490131578947369</v>
      </c>
      <c r="K74" s="17">
        <f>'Datos Actividad'!$Q70*'FE Sectorial'!$H73*'FE Sectorial'!L73/1000/1000</f>
        <v>898.02631578947376</v>
      </c>
      <c r="L74" s="17">
        <f>'Datos Actividad'!$Q70*'FE Sectorial'!$H73*'FE Sectorial'!M73/1000/1000</f>
        <v>449.01315789473688</v>
      </c>
      <c r="M74" s="17">
        <f>'Datos Actividad'!$Q70*'FE Sectorial'!$H73*'FE Sectorial'!N73/1000/1000</f>
        <v>59.868421052631582</v>
      </c>
      <c r="N74" s="17">
        <f>'Datos Actividad'!$Q70*'FE Sectorial'!$H73*'FE Sectorial'!O73/1000/1000</f>
        <v>0</v>
      </c>
      <c r="O74" s="87">
        <f>IF(D74&lt;400,H74+I74*'Factores generales'!$M$41+J74*'Factores generales'!$N$41,I74*'Factores generales'!$M$41+J74*'Factores generales'!$N$41)</f>
        <v>287476.18421052635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Actividad'!$Q71*'FE Sectorial'!$H74*'FE Sectorial'!I74*'FE Sectorial'!P74/1000</f>
        <v>319213.44</v>
      </c>
      <c r="I75" s="17">
        <f>'Datos Actividad'!$Q71*'FE Sectorial'!$H74*'FE Sectorial'!J74/1000/1000</f>
        <v>98.28</v>
      </c>
      <c r="J75" s="17">
        <f>'Datos Actividad'!$Q71*'FE Sectorial'!$H74*'FE Sectorial'!K74/1000/1000</f>
        <v>13.103999999999999</v>
      </c>
      <c r="K75" s="17">
        <f>'Datos Actividad'!$Q71*'FE Sectorial'!$H74*'FE Sectorial'!L74/1000/1000</f>
        <v>327.60000000000002</v>
      </c>
      <c r="L75" s="17">
        <f>'Datos Actividad'!$Q71*'FE Sectorial'!$H74*'FE Sectorial'!M74/1000/1000</f>
        <v>6552</v>
      </c>
      <c r="M75" s="17">
        <f>'Datos Actividad'!$Q71*'FE Sectorial'!$H74*'FE Sectorial'!N74/1000/1000</f>
        <v>163.80000000000001</v>
      </c>
      <c r="N75" s="17">
        <f>'Datos Actividad'!$Q71*'FE Sectorial'!$H74*'FE Sectorial'!O74/1000/1000</f>
        <v>840</v>
      </c>
      <c r="O75" s="87">
        <f>IF(D75&lt;400,H75+I75*'Factores generales'!$M$41+J75*'Factores generales'!$N$41,I75*'Factores generales'!$M$41+J75*'Factores generales'!$N$41)</f>
        <v>6126.12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Actividad'!$Q72*'FE Sectorial'!$H75*'FE Sectorial'!I75*'FE Sectorial'!P75/1000</f>
        <v>133240.31407918781</v>
      </c>
      <c r="I76" s="17">
        <f>'Datos Actividad'!$Q72*'FE Sectorial'!$H75*'FE Sectorial'!J75/1000/1000</f>
        <v>1.4372040609137056</v>
      </c>
      <c r="J76" s="17">
        <f>'Datos Actividad'!$Q72*'FE Sectorial'!$H75*'FE Sectorial'!K75/1000/1000</f>
        <v>2.1558060913705583</v>
      </c>
      <c r="K76" s="17">
        <f>'Datos Actividad'!$Q72*'FE Sectorial'!$H75*'FE Sectorial'!L75/1000/1000</f>
        <v>431.1612182741116</v>
      </c>
      <c r="L76" s="17">
        <f>'Datos Actividad'!$Q72*'FE Sectorial'!$H75*'FE Sectorial'!M75/1000/1000</f>
        <v>215.5806091370558</v>
      </c>
      <c r="M76" s="17">
        <f>'Datos Actividad'!$Q72*'FE Sectorial'!$H75*'FE Sectorial'!N75/1000/1000</f>
        <v>28.744081218274111</v>
      </c>
      <c r="N76" s="17">
        <f>'Datos Actividad'!$Q72*'FE Sectorial'!$H75*'FE Sectorial'!O75/1000/1000</f>
        <v>1375.927918781726</v>
      </c>
      <c r="O76" s="87">
        <f>IF(D76&lt;400,H76+I76*'Factores generales'!$M$41+J76*'Factores generales'!$N$41,I76*'Factores generales'!$M$41+J76*'Factores generales'!$N$41)</f>
        <v>133938.79525279187</v>
      </c>
    </row>
    <row r="77" spans="1:15" outlineLevel="1" x14ac:dyDescent="0.25">
      <c r="B77" s="1" t="s">
        <v>35</v>
      </c>
      <c r="G77" s="1"/>
      <c r="H77" s="15">
        <f t="shared" ref="H77:O77" si="18">H78+H79</f>
        <v>105572.90648836803</v>
      </c>
      <c r="I77" s="15">
        <f t="shared" si="18"/>
        <v>1.891326624</v>
      </c>
      <c r="J77" s="15">
        <f t="shared" si="18"/>
        <v>0.18913266240000004</v>
      </c>
      <c r="K77" s="15">
        <f t="shared" si="18"/>
        <v>283.69899360000005</v>
      </c>
      <c r="L77" s="15">
        <f t="shared" si="18"/>
        <v>56.739798719999996</v>
      </c>
      <c r="M77" s="15">
        <f t="shared" si="18"/>
        <v>9.4566331200000011</v>
      </c>
      <c r="N77" s="15">
        <f t="shared" si="18"/>
        <v>0</v>
      </c>
      <c r="O77" s="15">
        <f t="shared" si="18"/>
        <v>105671.25547281603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Actividad'!$Q74*'FE Sectorial'!$H77*'FE Sectorial'!I77*'FE Sectorial'!P77/1000</f>
        <v>105572.90648836803</v>
      </c>
      <c r="I78" s="17">
        <f>'Datos Actividad'!$Q74*'FE Sectorial'!$H77*'FE Sectorial'!J77/1000/1000</f>
        <v>1.891326624</v>
      </c>
      <c r="J78" s="17">
        <f>'Datos Actividad'!$Q74*'FE Sectorial'!$H77*'FE Sectorial'!K77/1000/1000</f>
        <v>0.18913266240000004</v>
      </c>
      <c r="K78" s="17">
        <f>'Datos Actividad'!$Q74*'FE Sectorial'!$H77*'FE Sectorial'!L77/1000/1000</f>
        <v>283.69899360000005</v>
      </c>
      <c r="L78" s="17">
        <f>'Datos Actividad'!$Q74*'FE Sectorial'!$H77*'FE Sectorial'!M77/1000/1000</f>
        <v>56.739798719999996</v>
      </c>
      <c r="M78" s="17">
        <f>'Datos Actividad'!$Q74*'FE Sectorial'!$H77*'FE Sectorial'!N77/1000/1000</f>
        <v>9.4566331200000011</v>
      </c>
      <c r="N78" s="17">
        <f>'Datos Actividad'!$Q74*'FE Sectorial'!$H77*'FE Sectorial'!O77/1000/1000</f>
        <v>0</v>
      </c>
      <c r="O78" s="87">
        <f>IF(D78&lt;400,H78+I78*'Factores generales'!$M$41+J78*'Factores generales'!$N$41,I78*'Factores generales'!$M$41+J78*'Factores generales'!$N$41)</f>
        <v>105671.25547281603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Actividad'!$Q75*'FE Sectorial'!$H78*'FE Sectorial'!I78*'FE Sectorial'!P78/1000</f>
        <v>0</v>
      </c>
      <c r="I79" s="17">
        <f>'Datos Actividad'!$Q75*'FE Sectorial'!$H78*'FE Sectorial'!J78/1000/1000</f>
        <v>0</v>
      </c>
      <c r="J79" s="17">
        <f>'Datos Actividad'!$Q75*'FE Sectorial'!$H78*'FE Sectorial'!K78/1000/1000</f>
        <v>0</v>
      </c>
      <c r="K79" s="17">
        <f>'Datos Actividad'!$Q75*'FE Sectorial'!$H78*'FE Sectorial'!L78/1000/1000</f>
        <v>0</v>
      </c>
      <c r="L79" s="17">
        <f>'Datos Actividad'!$Q75*'FE Sectorial'!$H78*'FE Sectorial'!M78/1000/1000</f>
        <v>0</v>
      </c>
      <c r="M79" s="17">
        <f>'Datos Actividad'!$Q75*'FE Sectorial'!$H78*'FE Sectorial'!N78/1000/1000</f>
        <v>0</v>
      </c>
      <c r="N79" s="17">
        <f>'Datos Actividad'!$Q75*'FE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68181.88392734401</v>
      </c>
      <c r="I80" s="15">
        <f>SUM(I81:I85)</f>
        <v>86.949590382287809</v>
      </c>
      <c r="J80" s="15">
        <f t="shared" ref="J80:O80" si="19">SUM(J81:J85)</f>
        <v>11.552573511238373</v>
      </c>
      <c r="K80" s="15">
        <f t="shared" si="19"/>
        <v>468.98088610095937</v>
      </c>
      <c r="L80" s="15">
        <f t="shared" si="19"/>
        <v>11467.049147798372</v>
      </c>
      <c r="M80" s="15">
        <f t="shared" si="19"/>
        <v>148.98736461047969</v>
      </c>
      <c r="N80" s="15">
        <f t="shared" si="19"/>
        <v>1.56E-3</v>
      </c>
      <c r="O80" s="15">
        <f t="shared" si="19"/>
        <v>73589.123113855938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Actividad'!$Q77*'FE Sectorial'!$H80*'FE Sectorial'!I80*'FE Sectorial'!P80/1000</f>
        <v>68178.729490344005</v>
      </c>
      <c r="I81" s="17">
        <f>'Datos Actividad'!$Q77*'FE Sectorial'!$H80*'FE Sectorial'!J80/1000/1000</f>
        <v>1.2214141919999999</v>
      </c>
      <c r="J81" s="17">
        <f>'Datos Actividad'!$Q77*'FE Sectorial'!$H80*'FE Sectorial'!K80/1000/1000</f>
        <v>0.1221414192</v>
      </c>
      <c r="K81" s="17">
        <f>'Datos Actividad'!$Q77*'FE Sectorial'!$H80*'FE Sectorial'!L80/1000/1000</f>
        <v>183.21212880000002</v>
      </c>
      <c r="L81" s="17">
        <f>'Datos Actividad'!$Q77*'FE Sectorial'!$H80*'FE Sectorial'!M80/1000/1000</f>
        <v>36.642425759999995</v>
      </c>
      <c r="M81" s="17">
        <f>'Datos Actividad'!$Q77*'FE Sectorial'!$H80*'FE Sectorial'!N80/1000/1000</f>
        <v>6.1070709599999997</v>
      </c>
      <c r="N81" s="17">
        <f>'Datos Actividad'!$Q77*'FE Sectorial'!$H80*'FE Sectorial'!O80/1000/1000</f>
        <v>0</v>
      </c>
      <c r="O81" s="87">
        <f>IF(D81&lt;400,H81+I81*'Factores generales'!$M$41+J81*'Factores generales'!$N$41,I81*'Factores generales'!$M$41+J81*'Factores generales'!$N$41)</f>
        <v>68242.243028327997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Actividad'!$Q78*'FE Sectorial'!$H81*'FE Sectorial'!I81*'FE Sectorial'!P81/1000</f>
        <v>3.1544369999999997</v>
      </c>
      <c r="I82" s="17">
        <f>'Datos Actividad'!$Q78*'FE Sectorial'!$H81*'FE Sectorial'!J81/1000/1000</f>
        <v>1.2899999999999999E-4</v>
      </c>
      <c r="J82" s="17">
        <f>'Datos Actividad'!$Q78*'FE Sectorial'!$H81*'FE Sectorial'!K81/1000/1000</f>
        <v>2.58E-5</v>
      </c>
      <c r="K82" s="17">
        <f>'Datos Actividad'!$Q78*'FE Sectorial'!$H81*'FE Sectorial'!L81/1000/1000</f>
        <v>8.6E-3</v>
      </c>
      <c r="L82" s="17">
        <f>'Datos Actividad'!$Q78*'FE Sectorial'!$H81*'FE Sectorial'!M81/1000/1000</f>
        <v>4.2999999999999999E-4</v>
      </c>
      <c r="M82" s="17">
        <f>'Datos Actividad'!$Q78*'FE Sectorial'!$H81*'FE Sectorial'!N81/1000/1000</f>
        <v>2.1499999999999999E-4</v>
      </c>
      <c r="N82" s="17">
        <f>'Datos Actividad'!$Q78*'FE Sectorial'!$H81*'FE Sectorial'!O81/1000/1000</f>
        <v>1.56E-3</v>
      </c>
      <c r="O82" s="87">
        <f>IF(D82&lt;400,H82+I82*'Factores generales'!$M$41+J82*'Factores generales'!$N$41,I82*'Factores generales'!$M$41+J82*'Factores generales'!$N$41)</f>
        <v>3.1651439999999997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Actividad'!$Q79*'FE Sectorial'!$H82*'FE Sectorial'!I82*'FE Sectorial'!P82/1000</f>
        <v>0</v>
      </c>
      <c r="I83" s="95">
        <f>'Datos Actividad'!$Q79*'FE Sectorial'!$H82*'FE Sectorial'!J82/1000/1000</f>
        <v>0</v>
      </c>
      <c r="J83" s="17">
        <f>'Datos Actividad'!$Q79*'FE Sectorial'!$H82*'FE Sectorial'!K82/1000/1000</f>
        <v>0</v>
      </c>
      <c r="K83" s="17">
        <f>'Datos Actividad'!$Q79*'FE Sectorial'!$H82*'FE Sectorial'!L82/1000/1000</f>
        <v>0</v>
      </c>
      <c r="L83" s="17">
        <f>'Datos Actividad'!$Q79*'FE Sectorial'!$H82*'FE Sectorial'!M82/1000/1000</f>
        <v>0</v>
      </c>
      <c r="M83" s="17">
        <f>'Datos Actividad'!$Q79*'FE Sectorial'!$H82*'FE Sectorial'!N82/1000/1000</f>
        <v>0</v>
      </c>
      <c r="N83" s="17">
        <f>'Datos Actividad'!$Q79*'FE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Actividad'!$Q80*'FE Sectorial'!$H83*'FE Sectorial'!I83*'FE Sectorial'!P83/1000</f>
        <v>0</v>
      </c>
      <c r="I84" s="95">
        <f>'Datos Actividad'!$Q80*'FE Sectorial'!$H83*'FE Sectorial'!J83/1000/1000</f>
        <v>0</v>
      </c>
      <c r="J84" s="17">
        <f>'Datos Actividad'!$Q80*'FE Sectorial'!$H83*'FE Sectorial'!K83/1000/1000</f>
        <v>0</v>
      </c>
      <c r="K84" s="17">
        <f>'Datos Actividad'!$Q80*'FE Sectorial'!$H83*'FE Sectorial'!L83/1000/1000</f>
        <v>0</v>
      </c>
      <c r="L84" s="17">
        <f>'Datos Actividad'!$Q80*'FE Sectorial'!$H83*'FE Sectorial'!M83/1000/1000</f>
        <v>0</v>
      </c>
      <c r="M84" s="17">
        <f>'Datos Actividad'!$Q80*'FE Sectorial'!$H83*'FE Sectorial'!N83/1000/1000</f>
        <v>0</v>
      </c>
      <c r="N84" s="17">
        <f>'Datos Actividad'!$Q80*'FE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Actividad'!$Q81*'FE Sectorial'!$H84*'FE Sectorial'!I84*'FE Sectorial'!P84/1000</f>
        <v>248611.33685183461</v>
      </c>
      <c r="I85" s="95">
        <f>'Datos Actividad'!$Q81*'FE Sectorial'!$H84*'FE Sectorial'!J84/1000/1000</f>
        <v>85.728047190287811</v>
      </c>
      <c r="J85" s="17">
        <f>'Datos Actividad'!$Q81*'FE Sectorial'!$H84*'FE Sectorial'!K84/1000/1000</f>
        <v>11.430406292038374</v>
      </c>
      <c r="K85" s="17">
        <f>'Datos Actividad'!$Q81*'FE Sectorial'!$H84*'FE Sectorial'!L84/1000/1000</f>
        <v>285.76015730095935</v>
      </c>
      <c r="L85" s="17">
        <f>'Datos Actividad'!$Q81*'FE Sectorial'!$H84*'FE Sectorial'!M84/1000/1000</f>
        <v>11430.406292038373</v>
      </c>
      <c r="M85" s="17">
        <f>'Datos Actividad'!$Q81*'FE Sectorial'!$H84*'FE Sectorial'!N84/1000/1000</f>
        <v>142.88007865047967</v>
      </c>
      <c r="N85" s="17">
        <f>'Datos Actividad'!$Q81*'FE Sectorial'!$H84*'FE Sectorial'!O84/1000/1000</f>
        <v>0</v>
      </c>
      <c r="O85" s="87">
        <f>IF(D85&lt;400,H85+I85*'Factores generales'!$M$41+J85*'Factores generales'!$N$41,I85*'Factores generales'!$M$41+J85*'Factores generales'!$N$41)</f>
        <v>5343.71494152794</v>
      </c>
    </row>
    <row r="86" spans="2:15" outlineLevel="1" x14ac:dyDescent="0.25">
      <c r="B86" s="1" t="s">
        <v>38</v>
      </c>
      <c r="G86" s="1"/>
      <c r="H86" s="15">
        <f>H87+H88</f>
        <v>235761.89631508803</v>
      </c>
      <c r="I86" s="15">
        <f>I87+I88+I89</f>
        <v>4.2236475840000001</v>
      </c>
      <c r="J86" s="15">
        <f t="shared" ref="J86:O86" si="20">J87+J88+J89</f>
        <v>0.4223647584000001</v>
      </c>
      <c r="K86" s="15">
        <f t="shared" si="20"/>
        <v>633.54713760000016</v>
      </c>
      <c r="L86" s="15">
        <f t="shared" si="20"/>
        <v>126.70942752000002</v>
      </c>
      <c r="M86" s="15">
        <f t="shared" si="20"/>
        <v>21.118237920000002</v>
      </c>
      <c r="N86" s="15">
        <f t="shared" si="20"/>
        <v>0</v>
      </c>
      <c r="O86" s="15">
        <f t="shared" si="20"/>
        <v>235981.52598945601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Actividad'!$Q83*'FE Sectorial'!$H86*'FE Sectorial'!I86*'FE Sectorial'!P86/1000</f>
        <v>235761.89631508803</v>
      </c>
      <c r="I87" s="17">
        <f>'Datos Actividad'!$Q83*'FE Sectorial'!$H86*'FE Sectorial'!J86/1000/1000</f>
        <v>4.2236475840000001</v>
      </c>
      <c r="J87" s="17">
        <f>'Datos Actividad'!$Q83*'FE Sectorial'!$H86*'FE Sectorial'!K86/1000/1000</f>
        <v>0.4223647584000001</v>
      </c>
      <c r="K87" s="17">
        <f>'Datos Actividad'!$Q83*'FE Sectorial'!$H86*'FE Sectorial'!L86/1000/1000</f>
        <v>633.54713760000016</v>
      </c>
      <c r="L87" s="17">
        <f>'Datos Actividad'!$Q83*'FE Sectorial'!$H86*'FE Sectorial'!M86/1000/1000</f>
        <v>126.70942752000002</v>
      </c>
      <c r="M87" s="17">
        <f>'Datos Actividad'!$Q83*'FE Sectorial'!$H86*'FE Sectorial'!N86/1000/1000</f>
        <v>21.118237920000002</v>
      </c>
      <c r="N87" s="17">
        <f>'Datos Actividad'!$Q83*'FE Sectorial'!$H86*'FE Sectorial'!O86/1000/1000</f>
        <v>0</v>
      </c>
      <c r="O87" s="87">
        <f>IF(D87&lt;400,H87+I87*'Factores generales'!$M$41+J87*'Factores generales'!$N$41,I87*'Factores generales'!$M$41+J87*'Factores generales'!$N$41)</f>
        <v>235981.52598945601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Actividad'!$Q84*'FE Sectorial'!$H87*'FE Sectorial'!I87*'FE Sectorial'!P87/1000</f>
        <v>0</v>
      </c>
      <c r="I88" s="17">
        <f>'Datos Actividad'!$Q84*'FE Sectorial'!$H87*'FE Sectorial'!J87/1000/1000</f>
        <v>0</v>
      </c>
      <c r="J88" s="17">
        <f>'Datos Actividad'!$Q84*'FE Sectorial'!$H87*'FE Sectorial'!K87/1000/1000</f>
        <v>0</v>
      </c>
      <c r="K88" s="17">
        <f>'Datos Actividad'!$Q84*'FE Sectorial'!$H87*'FE Sectorial'!L87/1000/1000</f>
        <v>0</v>
      </c>
      <c r="L88" s="17">
        <f>'Datos Actividad'!$Q84*'FE Sectorial'!$H87*'FE Sectorial'!M87/1000/1000</f>
        <v>0</v>
      </c>
      <c r="M88" s="17">
        <f>'Datos Actividad'!$Q84*'FE Sectorial'!$H87*'FE Sectorial'!N87/1000/1000</f>
        <v>0</v>
      </c>
      <c r="N88" s="17">
        <f>'Datos Actividad'!$Q84*'FE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Actividad'!$Q85*'FE Sectorial'!$H88*'FE Sectorial'!I88*'FE Sectorial'!P88/1000</f>
        <v>0</v>
      </c>
      <c r="I89" s="95">
        <f>'Datos Actividad'!$Q85*'FE Sectorial'!$H88*'FE Sectorial'!J88/1000/1000</f>
        <v>0</v>
      </c>
      <c r="J89" s="17">
        <f>'Datos Actividad'!$Q85*'FE Sectorial'!$H88*'FE Sectorial'!K88/1000/1000</f>
        <v>0</v>
      </c>
      <c r="K89" s="17">
        <f>'Datos Actividad'!$Q85*'FE Sectorial'!$H88*'FE Sectorial'!L88/1000/1000</f>
        <v>0</v>
      </c>
      <c r="L89" s="17">
        <f>'Datos Actividad'!$Q85*'FE Sectorial'!$H88*'FE Sectorial'!M88/1000/1000</f>
        <v>0</v>
      </c>
      <c r="M89" s="17">
        <f>'Datos Actividad'!$Q85*'FE Sectorial'!$H88*'FE Sectorial'!N88/1000/1000</f>
        <v>0</v>
      </c>
      <c r="N89" s="17">
        <f>'Datos Actividad'!$Q85*'FE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3966814.8463876811</v>
      </c>
      <c r="I90" s="15">
        <f t="shared" si="21"/>
        <v>72.101313227369999</v>
      </c>
      <c r="J90" s="15">
        <f t="shared" si="21"/>
        <v>7.3984891427370032</v>
      </c>
      <c r="K90" s="15">
        <f t="shared" si="21"/>
        <v>10658.232134105503</v>
      </c>
      <c r="L90" s="15">
        <f t="shared" si="21"/>
        <v>2112.8106448211006</v>
      </c>
      <c r="M90" s="15">
        <f t="shared" si="21"/>
        <v>354.2279721368501</v>
      </c>
      <c r="N90" s="15">
        <f t="shared" si="21"/>
        <v>84.011319999999998</v>
      </c>
      <c r="O90" s="15">
        <f t="shared" si="21"/>
        <v>3970622.5055997041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Actividad'!$Q87*'FE Sectorial'!$H90*'FE Sectorial'!I90*'FE Sectorial'!P90/1000</f>
        <v>3919518.8603602811</v>
      </c>
      <c r="I91" s="17">
        <f>'Datos Actividad'!$Q87*'FE Sectorial'!$H90*'FE Sectorial'!J90/1000/1000</f>
        <v>70.217735027370011</v>
      </c>
      <c r="J91" s="17">
        <f>'Datos Actividad'!$Q87*'FE Sectorial'!$H90*'FE Sectorial'!K90/1000/1000</f>
        <v>7.0217735027370027</v>
      </c>
      <c r="K91" s="17">
        <f>'Datos Actividad'!$Q87*'FE Sectorial'!$H90*'FE Sectorial'!L90/1000/1000</f>
        <v>10532.660254105504</v>
      </c>
      <c r="L91" s="17">
        <f>'Datos Actividad'!$Q87*'FE Sectorial'!$H90*'FE Sectorial'!M90/1000/1000</f>
        <v>2106.5320508211007</v>
      </c>
      <c r="M91" s="17">
        <f>'Datos Actividad'!$Q87*'FE Sectorial'!$H90*'FE Sectorial'!N90/1000/1000</f>
        <v>351.0886751368501</v>
      </c>
      <c r="N91" s="17">
        <f>'Datos Actividad'!$Q87*'FE Sectorial'!$H90*'FE Sectorial'!O90/1000/1000</f>
        <v>0</v>
      </c>
      <c r="O91" s="87">
        <f>IF(D91&lt;400,H91+I91*'Factores generales'!$M$41+J91*'Factores generales'!$N$41,I91*'Factores generales'!$M$41+J91*'Factores generales'!$N$41)</f>
        <v>3923170.1825817041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Actividad'!$Q88*'FE Sectorial'!$H91*'FE Sectorial'!I91*'FE Sectorial'!P91/1000</f>
        <v>18286.271288999997</v>
      </c>
      <c r="I92" s="17">
        <f>'Datos Actividad'!$Q88*'FE Sectorial'!$H91*'FE Sectorial'!J91/1000/1000</f>
        <v>0.74781299999999995</v>
      </c>
      <c r="J92" s="17">
        <f>'Datos Actividad'!$Q88*'FE Sectorial'!$H91*'FE Sectorial'!K91/1000/1000</f>
        <v>0.14956259999999999</v>
      </c>
      <c r="K92" s="17">
        <f>'Datos Actividad'!$Q88*'FE Sectorial'!$H91*'FE Sectorial'!L91/1000/1000</f>
        <v>49.854199999999999</v>
      </c>
      <c r="L92" s="17">
        <f>'Datos Actividad'!$Q88*'FE Sectorial'!$H91*'FE Sectorial'!M91/1000/1000</f>
        <v>2.4927100000000002</v>
      </c>
      <c r="M92" s="17">
        <f>'Datos Actividad'!$Q88*'FE Sectorial'!$H91*'FE Sectorial'!N91/1000/1000</f>
        <v>1.2463550000000001</v>
      </c>
      <c r="N92" s="17">
        <f>'Datos Actividad'!$Q88*'FE Sectorial'!$H91*'FE Sectorial'!O91/1000/1000</f>
        <v>9.0433199999999996</v>
      </c>
      <c r="O92" s="87">
        <f>IF(D92&lt;400,H92+I92*'Factores generales'!$M$41+J92*'Factores generales'!$N$41,I92*'Factores generales'!$M$41+J92*'Factores generales'!$N$41)</f>
        <v>18348.339767999998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Actividad'!$Q89*'FE Sectorial'!$H92*'FE Sectorial'!I92*'FE Sectorial'!P92/1000</f>
        <v>29009.714738400002</v>
      </c>
      <c r="I93" s="17">
        <f>'Datos Actividad'!$Q89*'FE Sectorial'!$H92*'FE Sectorial'!J92/1000/1000</f>
        <v>1.1357652</v>
      </c>
      <c r="J93" s="17">
        <f>'Datos Actividad'!$Q89*'FE Sectorial'!$H92*'FE Sectorial'!K92/1000/1000</f>
        <v>0.22715303999999997</v>
      </c>
      <c r="K93" s="17">
        <f>'Datos Actividad'!$Q89*'FE Sectorial'!$H92*'FE Sectorial'!L92/1000/1000</f>
        <v>75.717679999999987</v>
      </c>
      <c r="L93" s="17">
        <f>'Datos Actividad'!$Q89*'FE Sectorial'!$H92*'FE Sectorial'!M92/1000/1000</f>
        <v>3.7858839999999994</v>
      </c>
      <c r="M93" s="17">
        <f>'Datos Actividad'!$Q89*'FE Sectorial'!$H92*'FE Sectorial'!N92/1000/1000</f>
        <v>1.8929419999999997</v>
      </c>
      <c r="N93" s="17">
        <f>'Datos Actividad'!$Q89*'FE Sectorial'!$H92*'FE Sectorial'!O92/1000/1000</f>
        <v>74.968000000000004</v>
      </c>
      <c r="O93" s="87">
        <f>IF(D93&lt;400,H93+I93*'Factores generales'!$M$41+J93*'Factores generales'!$N$41,I93*'Factores generales'!$M$41+J93*'Factores generales'!$N$41)</f>
        <v>29103.983250000005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1202400.5628761007</v>
      </c>
      <c r="I94" s="15">
        <f t="shared" ref="I94:O94" si="22">SUM(I95:I100)</f>
        <v>41.262843239323146</v>
      </c>
      <c r="J94" s="15">
        <f t="shared" si="22"/>
        <v>7.8258578533440808</v>
      </c>
      <c r="K94" s="15">
        <f t="shared" si="22"/>
        <v>3106.4485447220004</v>
      </c>
      <c r="L94" s="15">
        <f t="shared" si="22"/>
        <v>251.33235600322345</v>
      </c>
      <c r="M94" s="15">
        <f t="shared" si="22"/>
        <v>82.995098549556872</v>
      </c>
      <c r="N94" s="15">
        <f t="shared" si="22"/>
        <v>2009.1674456083806</v>
      </c>
      <c r="O94" s="15">
        <f t="shared" si="22"/>
        <v>1205693.0985186631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Actividad'!$Q91*'FE Sectorial'!$H94*'FE Sectorial'!I94*'FE Sectorial'!P94/1000</f>
        <v>0</v>
      </c>
      <c r="I95" s="17">
        <f>'Datos Actividad'!$Q91*'FE Sectorial'!$H94*'FE Sectorial'!J94/1000/1000</f>
        <v>0</v>
      </c>
      <c r="J95" s="17">
        <f>'Datos Actividad'!$Q91*'FE Sectorial'!$H94*'FE Sectorial'!K94/1000/1000</f>
        <v>0</v>
      </c>
      <c r="K95" s="17">
        <f>'Datos Actividad'!$Q91*'FE Sectorial'!$H94*'FE Sectorial'!L94/1000/1000</f>
        <v>0</v>
      </c>
      <c r="L95" s="17">
        <f>'Datos Actividad'!$Q91*'FE Sectorial'!$H94*'FE Sectorial'!M94/1000/1000</f>
        <v>0</v>
      </c>
      <c r="M95" s="17">
        <f>'Datos Actividad'!$Q91*'FE Sectorial'!$H94*'FE Sectorial'!N94/1000/1000</f>
        <v>0</v>
      </c>
      <c r="N95" s="17">
        <f>'Datos Actividad'!$Q91*'FE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Actividad'!$Q92*'FE Sectorial'!$H95*'FE Sectorial'!I95*'FE Sectorial'!P95/1000</f>
        <v>266561.96622904151</v>
      </c>
      <c r="I96" s="17">
        <f>'Datos Actividad'!$Q92*'FE Sectorial'!$H95*'FE Sectorial'!J95/1000/1000</f>
        <v>4.2671079452054865</v>
      </c>
      <c r="J96" s="17">
        <f>'Datos Actividad'!$Q92*'FE Sectorial'!$H95*'FE Sectorial'!K95/1000/1000</f>
        <v>0.42671079452054866</v>
      </c>
      <c r="K96" s="17">
        <f>'Datos Actividad'!$Q92*'FE Sectorial'!$H95*'FE Sectorial'!L95/1000/1000</f>
        <v>640.06619178082303</v>
      </c>
      <c r="L96" s="17">
        <f>'Datos Actividad'!$Q92*'FE Sectorial'!$H95*'FE Sectorial'!M95/1000/1000</f>
        <v>128.01323835616458</v>
      </c>
      <c r="M96" s="17">
        <f>'Datos Actividad'!$Q92*'FE Sectorial'!$H95*'FE Sectorial'!N95/1000/1000</f>
        <v>21.335539726027434</v>
      </c>
      <c r="N96" s="17">
        <f>'Datos Actividad'!$Q92*'FE Sectorial'!$H95*'FE Sectorial'!O95/1000/1000</f>
        <v>18.042739726027431</v>
      </c>
      <c r="O96" s="87">
        <f>IF(D96&lt;400,H96+I96*'Factores generales'!$M$41+J96*'Factores generales'!$N$41,I96*'Factores generales'!$M$41+J96*'Factores generales'!$N$41)</f>
        <v>266783.85584219219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Actividad'!$Q93*'FE Sectorial'!$H96*'FE Sectorial'!I96*'FE Sectorial'!P96/1000</f>
        <v>204481.73964705918</v>
      </c>
      <c r="I97" s="17">
        <f>'Datos Actividad'!$Q93*'FE Sectorial'!$H96*'FE Sectorial'!J96/1000/1000</f>
        <v>8.3622352941176619</v>
      </c>
      <c r="J97" s="17">
        <f>'Datos Actividad'!$Q93*'FE Sectorial'!$H96*'FE Sectorial'!K96/1000/1000</f>
        <v>1.6724470588235323</v>
      </c>
      <c r="K97" s="17">
        <f>'Datos Actividad'!$Q93*'FE Sectorial'!$H96*'FE Sectorial'!L96/1000/1000</f>
        <v>557.48235294117728</v>
      </c>
      <c r="L97" s="17">
        <f>'Datos Actividad'!$Q93*'FE Sectorial'!$H96*'FE Sectorial'!M96/1000/1000</f>
        <v>27.874117647058871</v>
      </c>
      <c r="M97" s="17">
        <f>'Datos Actividad'!$Q93*'FE Sectorial'!$H96*'FE Sectorial'!N96/1000/1000</f>
        <v>13.937058823529435</v>
      </c>
      <c r="N97" s="17">
        <f>'Datos Actividad'!$Q93*'FE Sectorial'!$H96*'FE Sectorial'!O96/1000/1000</f>
        <v>101.12470588235311</v>
      </c>
      <c r="O97" s="87">
        <f>IF(D97&lt;400,H97+I97*'Factores generales'!$M$41+J97*'Factores generales'!$N$41,I97*'Factores generales'!$M$41+J97*'Factores generales'!$N$41)</f>
        <v>205175.80517647092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Actividad'!$Q94*'FE Sectorial'!$H97*'FE Sectorial'!I97*'FE Sectorial'!P97/1000</f>
        <v>731356.85699999996</v>
      </c>
      <c r="I98" s="17">
        <f>'Datos Actividad'!$Q94*'FE Sectorial'!$H97*'FE Sectorial'!J97/1000/1000</f>
        <v>28.633500000000002</v>
      </c>
      <c r="J98" s="17">
        <f>'Datos Actividad'!$Q94*'FE Sectorial'!$H97*'FE Sectorial'!K97/1000/1000</f>
        <v>5.7267000000000001</v>
      </c>
      <c r="K98" s="17">
        <f>'Datos Actividad'!$Q94*'FE Sectorial'!$H97*'FE Sectorial'!L97/1000/1000</f>
        <v>1908.9</v>
      </c>
      <c r="L98" s="17">
        <f>'Datos Actividad'!$Q94*'FE Sectorial'!$H97*'FE Sectorial'!M97/1000/1000</f>
        <v>95.444999999999993</v>
      </c>
      <c r="M98" s="17">
        <f>'Datos Actividad'!$Q94*'FE Sectorial'!$H97*'FE Sectorial'!N97/1000/1000</f>
        <v>47.722499999999997</v>
      </c>
      <c r="N98" s="17">
        <f>'Datos Actividad'!$Q94*'FE Sectorial'!$H97*'FE Sectorial'!O97/1000/1000</f>
        <v>1890</v>
      </c>
      <c r="O98" s="87">
        <f>IF(D98&lt;400,H98+I98*'Factores generales'!$M$41+J98*'Factores generales'!$N$41,I98*'Factores generales'!$M$41+J98*'Factores generales'!$N$41)</f>
        <v>733733.4375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Actividad'!$Q95*'FE Sectorial'!$H98*'FE Sectorial'!I98*'FE Sectorial'!P98/1000</f>
        <v>0</v>
      </c>
      <c r="I99" s="17">
        <f>'Datos Actividad'!$Q95*'FE Sectorial'!$H98*'FE Sectorial'!J98/1000/1000</f>
        <v>0</v>
      </c>
      <c r="J99" s="17">
        <f>'Datos Actividad'!$Q95*'FE Sectorial'!$H98*'FE Sectorial'!K98/1000/1000</f>
        <v>0</v>
      </c>
      <c r="K99" s="17">
        <f>'Datos Actividad'!$Q95*'FE Sectorial'!$H98*'FE Sectorial'!L98/1000/1000</f>
        <v>0</v>
      </c>
      <c r="L99" s="17">
        <f>'Datos Actividad'!$Q95*'FE Sectorial'!$H98*'FE Sectorial'!M98/1000/1000</f>
        <v>0</v>
      </c>
      <c r="M99" s="17">
        <f>'Datos Actividad'!$Q95*'FE Sectorial'!$H98*'FE Sectorial'!N98/1000/1000</f>
        <v>0</v>
      </c>
      <c r="N99" s="17">
        <f>'Datos Actividad'!$Q95*'FE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Actividad'!$Q96*'FE Sectorial'!$H99*'FE Sectorial'!I99*'FE Sectorial'!P99/1000</f>
        <v>0</v>
      </c>
      <c r="I100" s="17">
        <f>'Datos Actividad'!$Q96*'FE Sectorial'!$H99*'FE Sectorial'!J99/1000/1000</f>
        <v>0</v>
      </c>
      <c r="J100" s="17">
        <f>'Datos Actividad'!$Q96*'FE Sectorial'!$H99*'FE Sectorial'!K99/1000/1000</f>
        <v>0</v>
      </c>
      <c r="K100" s="17">
        <f>'Datos Actividad'!$Q96*'FE Sectorial'!$H99*'FE Sectorial'!L99/1000/1000</f>
        <v>0</v>
      </c>
      <c r="L100" s="17">
        <f>'Datos Actividad'!$Q96*'FE Sectorial'!$H99*'FE Sectorial'!M99/1000/1000</f>
        <v>0</v>
      </c>
      <c r="M100" s="17">
        <f>'Datos Actividad'!$Q96*'FE Sectorial'!$H99*'FE Sectorial'!N99/1000/1000</f>
        <v>0</v>
      </c>
      <c r="N100" s="17">
        <f>'Datos Actividad'!$Q96*'FE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35724425.722608812</v>
      </c>
      <c r="I101" s="129">
        <f t="shared" si="23"/>
        <v>10184.28774365374</v>
      </c>
      <c r="J101" s="129">
        <f t="shared" si="23"/>
        <v>2363.946961828442</v>
      </c>
      <c r="K101" s="129">
        <f t="shared" si="23"/>
        <v>348683.34246516053</v>
      </c>
      <c r="L101" s="129">
        <f t="shared" si="23"/>
        <v>1319500.4382713318</v>
      </c>
      <c r="M101" s="129">
        <f t="shared" si="23"/>
        <v>246960.7220456764</v>
      </c>
      <c r="N101" s="129">
        <f t="shared" si="23"/>
        <v>11862.641163655586</v>
      </c>
      <c r="O101" s="129">
        <f t="shared" si="23"/>
        <v>36671119.323392361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1210211.8104356283</v>
      </c>
      <c r="I102" s="134">
        <f t="shared" ref="I102:O102" si="24">I105</f>
        <v>8.5485047004000005</v>
      </c>
      <c r="J102" s="134">
        <f t="shared" si="24"/>
        <v>34.194018801600002</v>
      </c>
      <c r="K102" s="134">
        <f t="shared" si="24"/>
        <v>4274.2523502000004</v>
      </c>
      <c r="L102" s="134">
        <f t="shared" si="24"/>
        <v>1709.70094008</v>
      </c>
      <c r="M102" s="134">
        <f t="shared" si="24"/>
        <v>854.85047004</v>
      </c>
      <c r="N102" s="134">
        <f t="shared" si="24"/>
        <v>775.37457600000005</v>
      </c>
      <c r="O102" s="134">
        <f t="shared" si="24"/>
        <v>1220991.4748628326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2322057.7009670045</v>
      </c>
      <c r="I103" s="15">
        <f t="shared" ref="I103:O103" si="25">I104</f>
        <v>16.402187617200003</v>
      </c>
      <c r="J103" s="15">
        <f t="shared" si="25"/>
        <v>65.608750468800011</v>
      </c>
      <c r="K103" s="15">
        <f t="shared" si="25"/>
        <v>8201.0938086000006</v>
      </c>
      <c r="L103" s="15">
        <f t="shared" si="25"/>
        <v>3280.4375234400004</v>
      </c>
      <c r="M103" s="15">
        <f t="shared" si="25"/>
        <v>1640.2187617200002</v>
      </c>
      <c r="N103" s="15">
        <f t="shared" si="25"/>
        <v>1487.7267680000002</v>
      </c>
      <c r="O103" s="15">
        <f t="shared" si="25"/>
        <v>2342740.859552294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Actividad'!$Q100*'FE Sectorial'!$H103*'FE Sectorial'!I103*'FE Sectorial'!P103/1000</f>
        <v>2322057.7009670045</v>
      </c>
      <c r="I104" s="17">
        <f>'Datos Actividad'!$Q100*'FE Sectorial'!$H103*'FE Sectorial'!J103/1000/1000</f>
        <v>16.402187617200003</v>
      </c>
      <c r="J104" s="17">
        <f>'Datos Actividad'!$Q100*'FE Sectorial'!$H103*'FE Sectorial'!K103/1000/1000</f>
        <v>65.608750468800011</v>
      </c>
      <c r="K104" s="17">
        <f>'Datos Actividad'!$Q100*'FE Sectorial'!$H103*'FE Sectorial'!L103/1000/1000</f>
        <v>8201.0938086000006</v>
      </c>
      <c r="L104" s="17">
        <f>'Datos Actividad'!$Q100*'FE Sectorial'!$H103*'FE Sectorial'!M103/1000/1000</f>
        <v>3280.4375234400004</v>
      </c>
      <c r="M104" s="17">
        <f>'Datos Actividad'!$Q100*'FE Sectorial'!$H103*'FE Sectorial'!N103/1000/1000</f>
        <v>1640.2187617200002</v>
      </c>
      <c r="N104" s="17">
        <f>'Datos Actividad'!$Q100*'FE Sectorial'!$H103*'FE Sectorial'!O103/1000/1000</f>
        <v>1487.7267680000002</v>
      </c>
      <c r="O104" s="87">
        <f>IF(D104&lt;400,H104+I104*'Factores generales'!$M$41+J104*'Factores generales'!$N$41,I104*'Factores generales'!$M$41+J104*'Factores generales'!$N$41)</f>
        <v>2342740.859552294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1210211.8104356283</v>
      </c>
      <c r="I105" s="15">
        <f t="shared" ref="I105:O105" si="26">I106</f>
        <v>8.5485047004000005</v>
      </c>
      <c r="J105" s="15">
        <f t="shared" si="26"/>
        <v>34.194018801600002</v>
      </c>
      <c r="K105" s="15">
        <f t="shared" si="26"/>
        <v>4274.2523502000004</v>
      </c>
      <c r="L105" s="15">
        <f t="shared" si="26"/>
        <v>1709.70094008</v>
      </c>
      <c r="M105" s="15">
        <f t="shared" si="26"/>
        <v>854.85047004</v>
      </c>
      <c r="N105" s="15">
        <f t="shared" si="26"/>
        <v>775.37457600000005</v>
      </c>
      <c r="O105" s="15">
        <f t="shared" si="26"/>
        <v>1220991.4748628326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Actividad'!$Q102*'FE Sectorial'!$H105*'FE Sectorial'!I105*'FE Sectorial'!P105/1000</f>
        <v>1210211.8104356283</v>
      </c>
      <c r="I106" s="17">
        <f>'Datos Actividad'!$Q102*'FE Sectorial'!$H105*'FE Sectorial'!J105/1000/1000</f>
        <v>8.5485047004000005</v>
      </c>
      <c r="J106" s="17">
        <f>'Datos Actividad'!$Q102*'FE Sectorial'!$H105*'FE Sectorial'!K105/1000/1000</f>
        <v>34.194018801600002</v>
      </c>
      <c r="K106" s="17">
        <f>'Datos Actividad'!$Q102*'FE Sectorial'!$H105*'FE Sectorial'!L105/1000/1000</f>
        <v>4274.2523502000004</v>
      </c>
      <c r="L106" s="17">
        <f>'Datos Actividad'!$Q102*'FE Sectorial'!$H105*'FE Sectorial'!M105/1000/1000</f>
        <v>1709.70094008</v>
      </c>
      <c r="M106" s="17">
        <f>'Datos Actividad'!$Q102*'FE Sectorial'!$H105*'FE Sectorial'!N105/1000/1000</f>
        <v>854.85047004</v>
      </c>
      <c r="N106" s="17">
        <f>'Datos Actividad'!$Q102*'FE Sectorial'!$H105*'FE Sectorial'!O105/1000/1000</f>
        <v>775.37457600000005</v>
      </c>
      <c r="O106" s="87">
        <f>IF(D106&lt;400,H106+I106*'Factores generales'!$M$41+J106*'Factores generales'!$N$41,I106*'Factores generales'!$M$41+J106*'Factores generales'!$N$41)</f>
        <v>1220991.4748628326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32016632.864383861</v>
      </c>
      <c r="I107" s="134">
        <f t="shared" si="27"/>
        <v>10099.711210307742</v>
      </c>
      <c r="J107" s="134">
        <f t="shared" si="27"/>
        <v>2256.8847685906408</v>
      </c>
      <c r="K107" s="134">
        <f t="shared" si="27"/>
        <v>329776.87155401031</v>
      </c>
      <c r="L107" s="134">
        <f t="shared" si="27"/>
        <v>1310485.6265785708</v>
      </c>
      <c r="M107" s="134">
        <f t="shared" si="27"/>
        <v>244608.9451885547</v>
      </c>
      <c r="N107" s="134">
        <f t="shared" si="27"/>
        <v>10335.424938563428</v>
      </c>
      <c r="O107" s="134">
        <f t="shared" si="27"/>
        <v>32928361.078063421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29850822.031166926</v>
      </c>
      <c r="I108" s="15">
        <f t="shared" ref="I108:O108" si="28">I109+I110+I111+I112+I113</f>
        <v>9984.5697518698398</v>
      </c>
      <c r="J108" s="15">
        <f t="shared" si="28"/>
        <v>2141.7433101527386</v>
      </c>
      <c r="K108" s="15">
        <f t="shared" si="28"/>
        <v>306158.11084879964</v>
      </c>
      <c r="L108" s="15">
        <f t="shared" si="28"/>
        <v>1280962.1756970575</v>
      </c>
      <c r="M108" s="15">
        <f t="shared" si="28"/>
        <v>238704.25501225205</v>
      </c>
      <c r="N108" s="15">
        <f t="shared" si="28"/>
        <v>9264.3416042573626</v>
      </c>
      <c r="O108" s="15">
        <f t="shared" si="28"/>
        <v>30724438.422103539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Actividad'!$Q105*'FE Sectorial'!$H108*'FE Sectorial'!I108*'FE Sectorial'!P108/1000</f>
        <v>3565007.2204599604</v>
      </c>
      <c r="I109" s="17">
        <f>'Datos Actividad'!$Q105*'FE Sectorial'!$H108*'FE Sectorial'!J108/1000/1000</f>
        <v>5875.73633376</v>
      </c>
      <c r="J109" s="17">
        <f>'Datos Actividad'!$Q105*'FE Sectorial'!$H108*'FE Sectorial'!K108/1000/1000</f>
        <v>191.60009783999999</v>
      </c>
      <c r="K109" s="17">
        <f>'Datos Actividad'!$Q105*'FE Sectorial'!$H108*'FE Sectorial'!L108/1000/1000</f>
        <v>38320.019568000003</v>
      </c>
      <c r="L109" s="17">
        <f>'Datos Actividad'!$Q105*'FE Sectorial'!$H108*'FE Sectorial'!M108/1000/1000</f>
        <v>25546.679712000001</v>
      </c>
      <c r="M109" s="17">
        <f>'Datos Actividad'!$Q105*'FE Sectorial'!$H108*'FE Sectorial'!N108/1000/1000</f>
        <v>319.3334964</v>
      </c>
      <c r="N109" s="17">
        <f>'Datos Actividad'!$Q105*'FE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3747793.7137993202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Actividad'!$Q106*'FE Sectorial'!$H109*'FE Sectorial'!I109*'FE Sectorial'!P109/1000</f>
        <v>17573976.048993923</v>
      </c>
      <c r="I110" s="17">
        <f>'Datos Actividad'!$Q106*'FE Sectorial'!$H109*'FE Sectorial'!J109/1000/1000</f>
        <v>934.2889978199853</v>
      </c>
      <c r="J110" s="17">
        <f>'Datos Actividad'!$Q106*'FE Sectorial'!$H109*'FE Sectorial'!K109/1000/1000</f>
        <v>934.2889978199853</v>
      </c>
      <c r="K110" s="17">
        <f>'Datos Actividad'!$Q106*'FE Sectorial'!$H109*'FE Sectorial'!L109/1000/1000</f>
        <v>191649.02519384312</v>
      </c>
      <c r="L110" s="17">
        <f>'Datos Actividad'!$Q106*'FE Sectorial'!$H109*'FE Sectorial'!M109/1000/1000</f>
        <v>239561.28149230391</v>
      </c>
      <c r="M110" s="17">
        <f>'Datos Actividad'!$Q106*'FE Sectorial'!$H109*'FE Sectorial'!N109/1000/1000</f>
        <v>47912.256298460779</v>
      </c>
      <c r="N110" s="17">
        <f>'Datos Actividad'!$Q106*'FE Sectorial'!$H109*'FE Sectorial'!O109/1000/1000</f>
        <v>8691.0604448370723</v>
      </c>
      <c r="O110" s="87">
        <f>IF(D110&lt;400,H110+I110*'Factores generales'!$M$41+J110*'Factores generales'!$N$41,I110*'Factores generales'!$M$41+J110*'Factores generales'!$N$41)</f>
        <v>17883225.707272336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Actividad'!$Q107*'FE Sectorial'!$H110*'FE Sectorial'!I110*'FE Sectorial'!P110/1000</f>
        <v>8711838.761713041</v>
      </c>
      <c r="I111" s="17">
        <f>'Datos Actividad'!$Q107*'FE Sectorial'!$H110*'FE Sectorial'!J110/1000/1000</f>
        <v>3174.5444202898543</v>
      </c>
      <c r="J111" s="17">
        <f>'Datos Actividad'!$Q107*'FE Sectorial'!$H110*'FE Sectorial'!K110/1000/1000</f>
        <v>1015.8542144927535</v>
      </c>
      <c r="K111" s="17">
        <f>'Datos Actividad'!$Q107*'FE Sectorial'!$H110*'FE Sectorial'!L110/1000/1000</f>
        <v>76189.066086956518</v>
      </c>
      <c r="L111" s="17">
        <f>'Datos Actividad'!$Q107*'FE Sectorial'!$H110*'FE Sectorial'!M110/1000/1000</f>
        <v>1015854.2144927535</v>
      </c>
      <c r="M111" s="17">
        <f>'Datos Actividad'!$Q107*'FE Sectorial'!$H110*'FE Sectorial'!N110/1000/1000</f>
        <v>190472.66521739127</v>
      </c>
      <c r="N111" s="17">
        <f>'Datos Actividad'!$Q107*'FE Sectorial'!$H110*'FE Sectorial'!O110/1000/1000</f>
        <v>573.2811594202899</v>
      </c>
      <c r="O111" s="87">
        <f>IF(D111&lt;400,H111+I111*'Factores generales'!$M$41+J111*'Factores generales'!$N$41,I111*'Factores generales'!$M$41+J111*'Factores generales'!$N$41)</f>
        <v>9093419.0010318812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Actividad'!$Q108*'FE Sectorial'!$H111*'FE Sectorial'!I111*'FE Sectorial'!P111/1000</f>
        <v>0</v>
      </c>
      <c r="I112" s="17">
        <f>'Datos Actividad'!$Q108*'FE Sectorial'!$H111*'FE Sectorial'!J111/1000/1000</f>
        <v>0</v>
      </c>
      <c r="J112" s="17">
        <f>'Datos Actividad'!$Q108*'FE Sectorial'!$H111*'FE Sectorial'!K111/1000/1000</f>
        <v>0</v>
      </c>
      <c r="K112" s="17">
        <f>'Datos Actividad'!$Q108*'FE Sectorial'!$H111*'FE Sectorial'!L111/1000/1000</f>
        <v>0</v>
      </c>
      <c r="L112" s="17">
        <f>'Datos Actividad'!$Q108*'FE Sectorial'!$H111*'FE Sectorial'!M111/1000/1000</f>
        <v>0</v>
      </c>
      <c r="M112" s="17">
        <f>'Datos Actividad'!$Q108*'FE Sectorial'!$H111*'FE Sectorial'!N111/1000/1000</f>
        <v>0</v>
      </c>
      <c r="N112" s="17">
        <f>'Datos Actividad'!$Q108*'FE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Actividad'!$Q109*'FE Sectorial'!$H112*'FE Sectorial'!I112*'FE Sectorial'!P112/1000</f>
        <v>0</v>
      </c>
      <c r="I113" s="17">
        <f>'Datos Actividad'!$Q109*'FE Sectorial'!$H112*'FE Sectorial'!J112/1000/1000</f>
        <v>0</v>
      </c>
      <c r="J113" s="17">
        <f>'Datos Actividad'!$Q109*'FE Sectorial'!$H112*'FE Sectorial'!K112/1000/1000</f>
        <v>0</v>
      </c>
      <c r="K113" s="17">
        <f>'Datos Actividad'!$Q109*'FE Sectorial'!$H112*'FE Sectorial'!L112/1000/1000</f>
        <v>0</v>
      </c>
      <c r="L113" s="17">
        <f>'Datos Actividad'!$Q109*'FE Sectorial'!$H112*'FE Sectorial'!M112/1000/1000</f>
        <v>0</v>
      </c>
      <c r="M113" s="17">
        <f>'Datos Actividad'!$Q109*'FE Sectorial'!$H112*'FE Sectorial'!N112/1000/1000</f>
        <v>0</v>
      </c>
      <c r="N113" s="17">
        <f>'Datos Actividad'!$Q109*'FE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2165810.8332169363</v>
      </c>
      <c r="I114" s="15">
        <f t="shared" ref="I114:O114" si="29">I115</f>
        <v>115.14145843790199</v>
      </c>
      <c r="J114" s="15">
        <f t="shared" si="29"/>
        <v>115.14145843790199</v>
      </c>
      <c r="K114" s="15">
        <f t="shared" si="29"/>
        <v>23618.760705210669</v>
      </c>
      <c r="L114" s="15">
        <f t="shared" si="29"/>
        <v>29523.45088151333</v>
      </c>
      <c r="M114" s="15">
        <f t="shared" si="29"/>
        <v>5904.6901763026672</v>
      </c>
      <c r="N114" s="15">
        <f t="shared" si="29"/>
        <v>1071.0833343060649</v>
      </c>
      <c r="O114" s="15">
        <f t="shared" si="29"/>
        <v>2203922.6559598818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Actividad'!$Q111*'FE Sectorial'!$H114*'FE Sectorial'!I114*'FE Sectorial'!P114/1000</f>
        <v>2165810.8332169363</v>
      </c>
      <c r="I115" s="17">
        <f>'Datos Actividad'!$Q111*'FE Sectorial'!$H114*'FE Sectorial'!J114/1000/1000</f>
        <v>115.14145843790199</v>
      </c>
      <c r="J115" s="17">
        <f>'Datos Actividad'!$Q111*'FE Sectorial'!$H114*'FE Sectorial'!K114/1000/1000</f>
        <v>115.14145843790199</v>
      </c>
      <c r="K115" s="17">
        <f>'Datos Actividad'!$Q111*'FE Sectorial'!$H114*'FE Sectorial'!L114/1000/1000</f>
        <v>23618.760705210669</v>
      </c>
      <c r="L115" s="17">
        <f>'Datos Actividad'!$Q111*'FE Sectorial'!$H114*'FE Sectorial'!M114/1000/1000</f>
        <v>29523.45088151333</v>
      </c>
      <c r="M115" s="17">
        <f>'Datos Actividad'!$Q111*'FE Sectorial'!$H114*'FE Sectorial'!N114/1000/1000</f>
        <v>5904.6901763026672</v>
      </c>
      <c r="N115" s="17">
        <f>'Datos Actividad'!$Q111*'FE Sectorial'!$H114*'FE Sectorial'!O114/1000/1000</f>
        <v>1071.0833343060649</v>
      </c>
      <c r="O115" s="87">
        <f>IF(D115&lt;400,H115+I115*'Factores generales'!$M$41+J115*'Factores generales'!$N$41,I115*'Factores generales'!$M$41+J115*'Factores generales'!$N$41)</f>
        <v>2203922.6559598818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154699.89104763555</v>
      </c>
      <c r="I116" s="134">
        <f t="shared" ref="I116:O116" si="30">I117</f>
        <v>8.7515444300997522</v>
      </c>
      <c r="J116" s="134">
        <f t="shared" si="30"/>
        <v>60.311848361651293</v>
      </c>
      <c r="K116" s="134">
        <f t="shared" si="30"/>
        <v>2530.5670641252286</v>
      </c>
      <c r="L116" s="134">
        <f t="shared" si="30"/>
        <v>2108.8058867710242</v>
      </c>
      <c r="M116" s="134">
        <f t="shared" si="30"/>
        <v>421.76117735420479</v>
      </c>
      <c r="N116" s="134">
        <f t="shared" si="30"/>
        <v>76.505515892158087</v>
      </c>
      <c r="O116" s="134">
        <f t="shared" si="30"/>
        <v>173580.34647277955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Actividad'!$Q113*'FE Sectorial'!$H116*'FE Sectorial'!I116*'FE Sectorial'!P116/1000</f>
        <v>154699.89104763555</v>
      </c>
      <c r="I117" s="17">
        <f>'Datos Actividad'!$Q113*'FE Sectorial'!$H116*'FE Sectorial'!J116/1000/1000</f>
        <v>8.7515444300997522</v>
      </c>
      <c r="J117" s="17">
        <f>'Datos Actividad'!$Q113*'FE Sectorial'!$H116*'FE Sectorial'!K116/1000/1000</f>
        <v>60.311848361651293</v>
      </c>
      <c r="K117" s="17">
        <f>'Datos Actividad'!$Q113*'FE Sectorial'!$H116*'FE Sectorial'!L116/1000/1000</f>
        <v>2530.5670641252286</v>
      </c>
      <c r="L117" s="17">
        <f>'Datos Actividad'!$Q113*'FE Sectorial'!$H116*'FE Sectorial'!M116/1000/1000</f>
        <v>2108.8058867710242</v>
      </c>
      <c r="M117" s="17">
        <f>'Datos Actividad'!$Q113*'FE Sectorial'!$H116*'FE Sectorial'!N116/1000/1000</f>
        <v>421.76117735420479</v>
      </c>
      <c r="N117" s="17">
        <f>'Datos Actividad'!$Q113*'FE Sectorial'!$H116*'FE Sectorial'!O116/1000/1000</f>
        <v>76.505515892158087</v>
      </c>
      <c r="O117" s="87">
        <f>IF(D117&lt;400,H117+I117*'Factores generales'!$M$41+J117*'Factores generales'!$N$41,I117*'Factores generales'!$M$41+J117*'Factores generales'!$N$41)</f>
        <v>173580.34647277955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338899.98740499001</v>
      </c>
      <c r="I118" s="134">
        <f t="shared" ref="I118:O118" si="31">I122</f>
        <v>31.35122067</v>
      </c>
      <c r="J118" s="134">
        <f t="shared" si="31"/>
        <v>8.9574916200000008</v>
      </c>
      <c r="K118" s="134">
        <f t="shared" si="31"/>
        <v>6718.1187149999996</v>
      </c>
      <c r="L118" s="134">
        <f t="shared" si="31"/>
        <v>4478.7458100000003</v>
      </c>
      <c r="M118" s="134">
        <f t="shared" si="31"/>
        <v>895.74916200000007</v>
      </c>
      <c r="N118" s="134">
        <f t="shared" si="31"/>
        <v>674.57329319999997</v>
      </c>
      <c r="O118" s="134">
        <f t="shared" si="31"/>
        <v>342335.18544125999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1635162.4365582329</v>
      </c>
      <c r="I119" s="15">
        <f t="shared" ref="I119:O119" si="32">I120+I121</f>
        <v>151.377911181</v>
      </c>
      <c r="J119" s="15">
        <f t="shared" si="32"/>
        <v>43.250831766000005</v>
      </c>
      <c r="K119" s="15">
        <f t="shared" si="32"/>
        <v>32438.123824500002</v>
      </c>
      <c r="L119" s="15">
        <f t="shared" si="32"/>
        <v>21625.415883000001</v>
      </c>
      <c r="M119" s="15">
        <f t="shared" si="32"/>
        <v>4325.0831765999992</v>
      </c>
      <c r="N119" s="15">
        <f t="shared" si="32"/>
        <v>3197.7173790000002</v>
      </c>
      <c r="O119" s="15">
        <f t="shared" si="32"/>
        <v>1651749.1305404941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Actividad'!$Q116*'FE Sectorial'!$H119*'FE Sectorial'!I119*'FE Sectorial'!P119/1000</f>
        <v>491904.56185942498</v>
      </c>
      <c r="I120" s="17">
        <f>'Datos Actividad'!$Q116*'FE Sectorial'!$H119*'FE Sectorial'!J119/1000/1000</f>
        <v>46.938098025000002</v>
      </c>
      <c r="J120" s="17">
        <f>'Datos Actividad'!$Q116*'FE Sectorial'!$H119*'FE Sectorial'!K119/1000/1000</f>
        <v>13.41088515</v>
      </c>
      <c r="K120" s="17">
        <f>'Datos Actividad'!$Q116*'FE Sectorial'!$H119*'FE Sectorial'!L119/1000/1000</f>
        <v>10058.163862500001</v>
      </c>
      <c r="L120" s="17">
        <f>'Datos Actividad'!$Q116*'FE Sectorial'!$H119*'FE Sectorial'!M119/1000/1000</f>
        <v>6705.442575</v>
      </c>
      <c r="M120" s="17">
        <f>'Datos Actividad'!$Q116*'FE Sectorial'!$H119*'FE Sectorial'!N119/1000/1000</f>
        <v>1341.0885149999999</v>
      </c>
      <c r="N120" s="17">
        <f>'Datos Actividad'!$Q116*'FE Sectorial'!$H119*'FE Sectorial'!O119/1000/1000</f>
        <v>243.26721900000001</v>
      </c>
      <c r="O120" s="87">
        <f>IF(D120&lt;400,H120+I120*'Factores generales'!$M$41+J120*'Factores generales'!$N$41,I120*'Factores generales'!$M$41+J120*'Factores generales'!$N$41)</f>
        <v>497047.63631445001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Actividad'!$Q117*'FE Sectorial'!$H120*'FE Sectorial'!I120*'FE Sectorial'!P120/1000</f>
        <v>1143257.874698808</v>
      </c>
      <c r="I121" s="17">
        <f>'Datos Actividad'!$Q117*'FE Sectorial'!$H120*'FE Sectorial'!J120/1000/1000</f>
        <v>104.439813156</v>
      </c>
      <c r="J121" s="17">
        <f>'Datos Actividad'!$Q117*'FE Sectorial'!$H120*'FE Sectorial'!K120/1000/1000</f>
        <v>29.839946616000002</v>
      </c>
      <c r="K121" s="17">
        <f>'Datos Actividad'!$Q117*'FE Sectorial'!$H120*'FE Sectorial'!L120/1000/1000</f>
        <v>22379.959962000001</v>
      </c>
      <c r="L121" s="17">
        <f>'Datos Actividad'!$Q117*'FE Sectorial'!$H120*'FE Sectorial'!M120/1000/1000</f>
        <v>14919.973308000001</v>
      </c>
      <c r="M121" s="17">
        <f>'Datos Actividad'!$Q117*'FE Sectorial'!$H120*'FE Sectorial'!N120/1000/1000</f>
        <v>2983.9946615999997</v>
      </c>
      <c r="N121" s="17">
        <f>'Datos Actividad'!$Q117*'FE Sectorial'!$H120*'FE Sectorial'!O120/1000/1000</f>
        <v>2954.4501600000003</v>
      </c>
      <c r="O121" s="87">
        <f>IF(D121&lt;400,H121+I121*'Factores generales'!$M$41+J121*'Factores generales'!$N$41,I121*'Factores generales'!$M$41+J121*'Factores generales'!$N$41)</f>
        <v>1154701.494226044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338899.98740499001</v>
      </c>
      <c r="I122" s="15">
        <f t="shared" ref="I122:O122" si="33">I123+I124</f>
        <v>31.35122067</v>
      </c>
      <c r="J122" s="15">
        <f t="shared" si="33"/>
        <v>8.9574916200000008</v>
      </c>
      <c r="K122" s="15">
        <f t="shared" si="33"/>
        <v>6718.1187149999996</v>
      </c>
      <c r="L122" s="15">
        <f t="shared" si="33"/>
        <v>4478.7458100000003</v>
      </c>
      <c r="M122" s="15">
        <f t="shared" si="33"/>
        <v>895.74916200000007</v>
      </c>
      <c r="N122" s="15">
        <f t="shared" si="33"/>
        <v>674.57329319999997</v>
      </c>
      <c r="O122" s="15">
        <f t="shared" si="33"/>
        <v>342335.18544125999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Actividad'!$Q119*'FE Sectorial'!$H122*'FE Sectorial'!I122*'FE Sectorial'!P122/1000</f>
        <v>96293.826447389991</v>
      </c>
      <c r="I123" s="17">
        <f>'Datos Actividad'!$Q119*'FE Sectorial'!$H122*'FE Sectorial'!J122/1000/1000</f>
        <v>9.1884674699999991</v>
      </c>
      <c r="J123" s="17">
        <f>'Datos Actividad'!$Q119*'FE Sectorial'!$H122*'FE Sectorial'!K122/1000/1000</f>
        <v>2.6252764200000001</v>
      </c>
      <c r="K123" s="17">
        <f>'Datos Actividad'!$Q119*'FE Sectorial'!$H122*'FE Sectorial'!L122/1000/1000</f>
        <v>1968.9573149999999</v>
      </c>
      <c r="L123" s="17">
        <f>'Datos Actividad'!$Q119*'FE Sectorial'!$H122*'FE Sectorial'!M122/1000/1000</f>
        <v>1312.6382100000001</v>
      </c>
      <c r="M123" s="17">
        <f>'Datos Actividad'!$Q119*'FE Sectorial'!$H122*'FE Sectorial'!N122/1000/1000</f>
        <v>262.52764200000001</v>
      </c>
      <c r="N123" s="17">
        <f>'Datos Actividad'!$Q119*'FE Sectorial'!$H122*'FE Sectorial'!O122/1000/1000</f>
        <v>47.621293199999997</v>
      </c>
      <c r="O123" s="87">
        <f>IF(D123&lt;400,H123+I123*'Factores generales'!$M$41+J123*'Factores generales'!$N$41,I123*'Factores generales'!$M$41+J123*'Factores generales'!$N$41)</f>
        <v>97300.61995445998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Actividad'!$Q120*'FE Sectorial'!$H123*'FE Sectorial'!I123*'FE Sectorial'!P123/1000</f>
        <v>242606.16095760002</v>
      </c>
      <c r="I124" s="17">
        <f>'Datos Actividad'!$Q120*'FE Sectorial'!$H123*'FE Sectorial'!J123/1000/1000</f>
        <v>22.162753200000001</v>
      </c>
      <c r="J124" s="17">
        <f>'Datos Actividad'!$Q120*'FE Sectorial'!$H123*'FE Sectorial'!K123/1000/1000</f>
        <v>6.3322152000000003</v>
      </c>
      <c r="K124" s="17">
        <f>'Datos Actividad'!$Q120*'FE Sectorial'!$H123*'FE Sectorial'!L123/1000/1000</f>
        <v>4749.1614</v>
      </c>
      <c r="L124" s="17">
        <f>'Datos Actividad'!$Q120*'FE Sectorial'!$H123*'FE Sectorial'!M123/1000/1000</f>
        <v>3166.1076000000003</v>
      </c>
      <c r="M124" s="17">
        <f>'Datos Actividad'!$Q120*'FE Sectorial'!$H123*'FE Sectorial'!N123/1000/1000</f>
        <v>633.22152000000006</v>
      </c>
      <c r="N124" s="17">
        <f>'Datos Actividad'!$Q120*'FE Sectorial'!$H123*'FE Sectorial'!O123/1000/1000</f>
        <v>626.952</v>
      </c>
      <c r="O124" s="87">
        <f>IF(D124&lt;400,H124+I124*'Factores generales'!$M$41+J124*'Factores generales'!$N$41,I124*'Factores generales'!$M$41+J124*'Factores generales'!$N$41)</f>
        <v>245034.56548680004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2003981.1693366964</v>
      </c>
      <c r="I125" s="134">
        <f t="shared" si="34"/>
        <v>35.925263545500002</v>
      </c>
      <c r="J125" s="134">
        <f t="shared" si="34"/>
        <v>3.5988344545500008</v>
      </c>
      <c r="K125" s="134">
        <f t="shared" si="34"/>
        <v>5383.5327818250007</v>
      </c>
      <c r="L125" s="134">
        <f t="shared" si="34"/>
        <v>717.55905591000021</v>
      </c>
      <c r="M125" s="134">
        <f t="shared" si="34"/>
        <v>179.41604772750003</v>
      </c>
      <c r="N125" s="134">
        <f t="shared" si="34"/>
        <v>0.76283999999999996</v>
      </c>
      <c r="O125" s="134">
        <f t="shared" si="34"/>
        <v>2005851.2385520623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2003981.1693366964</v>
      </c>
      <c r="I126" s="15">
        <f t="shared" si="35"/>
        <v>35.925263545500002</v>
      </c>
      <c r="J126" s="15">
        <f t="shared" si="35"/>
        <v>3.5988344545500008</v>
      </c>
      <c r="K126" s="15">
        <f t="shared" si="35"/>
        <v>5383.5327818250007</v>
      </c>
      <c r="L126" s="15">
        <f t="shared" si="35"/>
        <v>717.55905591000021</v>
      </c>
      <c r="M126" s="15">
        <f t="shared" si="35"/>
        <v>179.41604772750003</v>
      </c>
      <c r="N126" s="15">
        <f t="shared" si="35"/>
        <v>0.76283999999999996</v>
      </c>
      <c r="O126" s="15">
        <f t="shared" si="35"/>
        <v>2005851.2385520623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Actividad'!$Q123*'FE Sectorial'!$H126*'FE Sectorial'!I126*'FE Sectorial'!P126/1000</f>
        <v>1978263.8895096004</v>
      </c>
      <c r="I127" s="17">
        <f>'Datos Actividad'!$Q123*'FE Sectorial'!$H126*'FE Sectorial'!J126/1000/1000</f>
        <v>35.440372800000006</v>
      </c>
      <c r="J127" s="17">
        <f>'Datos Actividad'!$Q123*'FE Sectorial'!$H126*'FE Sectorial'!K126/1000/1000</f>
        <v>3.5440372800000008</v>
      </c>
      <c r="K127" s="17">
        <f>'Datos Actividad'!$Q123*'FE Sectorial'!$H126*'FE Sectorial'!L126/1000/1000</f>
        <v>5316.0559200000007</v>
      </c>
      <c r="L127" s="17">
        <f>'Datos Actividad'!$Q123*'FE Sectorial'!$H126*'FE Sectorial'!M126/1000/1000</f>
        <v>708.80745600000012</v>
      </c>
      <c r="M127" s="17">
        <f>'Datos Actividad'!$Q123*'FE Sectorial'!$H126*'FE Sectorial'!N126/1000/1000</f>
        <v>177.20186400000003</v>
      </c>
      <c r="N127" s="17">
        <f>'Datos Actividad'!$Q123*'FE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1980106.7888952002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Actividad'!$Q124*'FE Sectorial'!$H127*'FE Sectorial'!I127*'FE Sectorial'!P127/1000</f>
        <v>1542.5196929999997</v>
      </c>
      <c r="I128" s="17">
        <f>'Datos Actividad'!$Q124*'FE Sectorial'!$H127*'FE Sectorial'!J127/1000/1000</f>
        <v>6.3080999999999984E-2</v>
      </c>
      <c r="J128" s="17">
        <f>'Datos Actividad'!$Q124*'FE Sectorial'!$H127*'FE Sectorial'!K127/1000/1000</f>
        <v>1.2616199999999998E-2</v>
      </c>
      <c r="K128" s="17">
        <f>'Datos Actividad'!$Q124*'FE Sectorial'!$H127*'FE Sectorial'!L127/1000/1000</f>
        <v>4.2053999999999991</v>
      </c>
      <c r="L128" s="17">
        <f>'Datos Actividad'!$Q124*'FE Sectorial'!$H127*'FE Sectorial'!M127/1000/1000</f>
        <v>0.31540499999999994</v>
      </c>
      <c r="M128" s="17">
        <f>'Datos Actividad'!$Q124*'FE Sectorial'!$H127*'FE Sectorial'!N127/1000/1000</f>
        <v>0.10513499999999999</v>
      </c>
      <c r="N128" s="17">
        <f>'Datos Actividad'!$Q124*'FE Sectorial'!$H127*'FE Sectorial'!O127/1000/1000</f>
        <v>0.76283999999999996</v>
      </c>
      <c r="O128" s="87">
        <f>IF(D128&lt;400,H128+I128*'Factores generales'!$M$41+J128*'Factores generales'!$N$41,I128*'Factores generales'!$M$41+J128*'Factores generales'!$N$41)</f>
        <v>1547.7554159999997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Actividad'!$Q125*'FE Sectorial'!$H128*'FE Sectorial'!I128*'FE Sectorial'!P128/1000</f>
        <v>24174.760134095999</v>
      </c>
      <c r="I129" s="17">
        <f>'Datos Actividad'!$Q125*'FE Sectorial'!$H128*'FE Sectorial'!J128/1000/1000</f>
        <v>0.4218097455</v>
      </c>
      <c r="J129" s="17">
        <f>'Datos Actividad'!$Q125*'FE Sectorial'!$H128*'FE Sectorial'!K128/1000/1000</f>
        <v>4.2180974550000007E-2</v>
      </c>
      <c r="K129" s="17">
        <f>'Datos Actividad'!$Q125*'FE Sectorial'!$H128*'FE Sectorial'!L128/1000/1000</f>
        <v>63.271461825000003</v>
      </c>
      <c r="L129" s="17">
        <f>'Datos Actividad'!$Q125*'FE Sectorial'!$H128*'FE Sectorial'!M128/1000/1000</f>
        <v>8.4361949099999993</v>
      </c>
      <c r="M129" s="17">
        <f>'Datos Actividad'!$Q125*'FE Sectorial'!$H128*'FE Sectorial'!N128/1000/1000</f>
        <v>2.1090487274999998</v>
      </c>
      <c r="N129" s="17">
        <f>'Datos Actividad'!$Q125*'FE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24196.694240861998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26969399.987598769</v>
      </c>
      <c r="I131" s="129">
        <f t="shared" si="36"/>
        <v>2840.5036141584028</v>
      </c>
      <c r="J131" s="129">
        <f t="shared" si="36"/>
        <v>188.1546731098712</v>
      </c>
      <c r="K131" s="129">
        <f t="shared" si="36"/>
        <v>169825.51648767691</v>
      </c>
      <c r="L131" s="129">
        <f t="shared" si="36"/>
        <v>243048.90565145452</v>
      </c>
      <c r="M131" s="129">
        <f t="shared" si="36"/>
        <v>30038.801620521706</v>
      </c>
      <c r="N131" s="129">
        <f t="shared" si="36"/>
        <v>7282.225107290863</v>
      </c>
      <c r="O131" s="129">
        <f t="shared" si="36"/>
        <v>27087378.512160156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2980114.7570223338</v>
      </c>
      <c r="I132" s="134">
        <f>SUM(I133:I137)</f>
        <v>60.316456990820306</v>
      </c>
      <c r="J132" s="134">
        <f t="shared" ref="J132:O132" si="37">SUM(J133:J137)</f>
        <v>7.2930330931996785</v>
      </c>
      <c r="K132" s="134">
        <f t="shared" si="37"/>
        <v>7575.849922152458</v>
      </c>
      <c r="L132" s="134">
        <f t="shared" si="37"/>
        <v>2469.221645423369</v>
      </c>
      <c r="M132" s="134">
        <f t="shared" si="37"/>
        <v>259.53603848351332</v>
      </c>
      <c r="N132" s="134">
        <f t="shared" si="37"/>
        <v>347.18485663174863</v>
      </c>
      <c r="O132" s="134">
        <f t="shared" si="37"/>
        <v>2983642.2428780328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Actividad'!$Q129*'FE Sectorial'!$H132*'FE Sectorial'!I132*'FE Sectorial'!P132/1000</f>
        <v>0</v>
      </c>
      <c r="I133" s="17">
        <f>'Datos Actividad'!$Q129*'FE Sectorial'!$H132*'FE Sectorial'!J132/1000/1000</f>
        <v>0</v>
      </c>
      <c r="J133" s="17">
        <f>'Datos Actividad'!$Q129*'FE Sectorial'!$H132*'FE Sectorial'!K132/1000/1000</f>
        <v>0</v>
      </c>
      <c r="K133" s="17">
        <f>'Datos Actividad'!$Q129*'FE Sectorial'!$H132*'FE Sectorial'!L132/1000/1000</f>
        <v>0</v>
      </c>
      <c r="L133" s="17">
        <f>'Datos Actividad'!$Q129*'FE Sectorial'!$H132*'FE Sectorial'!M132/1000/1000</f>
        <v>0</v>
      </c>
      <c r="M133" s="17">
        <f>'Datos Actividad'!$Q129*'FE Sectorial'!$H132*'FE Sectorial'!N132/1000/1000</f>
        <v>0</v>
      </c>
      <c r="N133" s="17">
        <f>'Datos Actividad'!$Q129*'FE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Actividad'!$Q130*'FE Sectorial'!$H133*'FE Sectorial'!I133*'FE Sectorial'!P133/1000</f>
        <v>2620200.7931204163</v>
      </c>
      <c r="I134" s="17">
        <f>'Datos Actividad'!$Q130*'FE Sectorial'!$H133*'FE Sectorial'!J133/1000/1000</f>
        <v>46.940599487999997</v>
      </c>
      <c r="J134" s="17">
        <f>'Datos Actividad'!$Q130*'FE Sectorial'!$H133*'FE Sectorial'!K133/1000/1000</f>
        <v>4.6940599488000005</v>
      </c>
      <c r="K134" s="17">
        <f>'Datos Actividad'!$Q130*'FE Sectorial'!$H133*'FE Sectorial'!L133/1000/1000</f>
        <v>7041.0899232000002</v>
      </c>
      <c r="L134" s="17">
        <f>'Datos Actividad'!$Q130*'FE Sectorial'!$H133*'FE Sectorial'!M133/1000/1000</f>
        <v>2347.0299744000004</v>
      </c>
      <c r="M134" s="17">
        <f>'Datos Actividad'!$Q130*'FE Sectorial'!$H133*'FE Sectorial'!N133/1000/1000</f>
        <v>234.70299744000002</v>
      </c>
      <c r="N134" s="17">
        <f>'Datos Actividad'!$Q130*'FE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2622641.7042937926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Actividad'!$Q131*'FE Sectorial'!$H134*'FE Sectorial'!I134*'FE Sectorial'!P134/1000</f>
        <v>47600.351112328768</v>
      </c>
      <c r="I135" s="17">
        <f>'Datos Actividad'!$Q131*'FE Sectorial'!$H134*'FE Sectorial'!J134/1000/1000</f>
        <v>0.76198356164383563</v>
      </c>
      <c r="J135" s="17">
        <f>'Datos Actividad'!$Q131*'FE Sectorial'!$H134*'FE Sectorial'!K134/1000/1000</f>
        <v>7.6198356164383571E-2</v>
      </c>
      <c r="K135" s="17">
        <f>'Datos Actividad'!$Q131*'FE Sectorial'!$H134*'FE Sectorial'!L134/1000/1000</f>
        <v>114.29753424657534</v>
      </c>
      <c r="L135" s="17">
        <f>'Datos Actividad'!$Q131*'FE Sectorial'!$H134*'FE Sectorial'!M134/1000/1000</f>
        <v>38.099178082191777</v>
      </c>
      <c r="M135" s="17">
        <f>'Datos Actividad'!$Q131*'FE Sectorial'!$H134*'FE Sectorial'!N134/1000/1000</f>
        <v>3.8099178082191778</v>
      </c>
      <c r="N135" s="17">
        <f>'Datos Actividad'!$Q131*'FE Sectorial'!$H134*'FE Sectorial'!O134/1000/1000</f>
        <v>3.2219178082191782</v>
      </c>
      <c r="O135" s="87">
        <f>IF(D135&lt;400,H135+I135*'Factores generales'!$M$41+J135*'Factores generales'!$N$41,I135*'Factores generales'!$M$41+J135*'Factores generales'!$N$41)</f>
        <v>47639.974257534246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Actividad'!$Q132*'FE Sectorial'!$H135*'FE Sectorial'!I135*'FE Sectorial'!P135/1000</f>
        <v>221625.36252158825</v>
      </c>
      <c r="I136" s="17">
        <f>'Datos Actividad'!$Q132*'FE Sectorial'!$H135*'FE Sectorial'!J135/1000/1000</f>
        <v>9.06331994117647</v>
      </c>
      <c r="J136" s="17">
        <f>'Datos Actividad'!$Q132*'FE Sectorial'!$H135*'FE Sectorial'!K135/1000/1000</f>
        <v>1.812663988235294</v>
      </c>
      <c r="K136" s="17">
        <f>'Datos Actividad'!$Q132*'FE Sectorial'!$H135*'FE Sectorial'!L135/1000/1000</f>
        <v>302.11066470588236</v>
      </c>
      <c r="L136" s="17">
        <f>'Datos Actividad'!$Q132*'FE Sectorial'!$H135*'FE Sectorial'!M135/1000/1000</f>
        <v>60.422132941176471</v>
      </c>
      <c r="M136" s="17">
        <f>'Datos Actividad'!$Q132*'FE Sectorial'!$H135*'FE Sectorial'!N135/1000/1000</f>
        <v>15.105533235294118</v>
      </c>
      <c r="N136" s="17">
        <f>'Datos Actividad'!$Q132*'FE Sectorial'!$H135*'FE Sectorial'!O135/1000/1000</f>
        <v>109.60293882352941</v>
      </c>
      <c r="O136" s="87">
        <f>IF(D136&lt;400,H136+I136*'Factores generales'!$M$41+J136*'Factores generales'!$N$41,I136*'Factores generales'!$M$41+J136*'Factores generales'!$N$41)</f>
        <v>222377.6180767059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Actividad'!$Q133*'FE Sectorial'!$H136*'FE Sectorial'!I136*'FE Sectorial'!P136/1000</f>
        <v>90688.250268000003</v>
      </c>
      <c r="I137" s="17">
        <f>'Datos Actividad'!$Q133*'FE Sectorial'!$H136*'FE Sectorial'!J136/1000/1000</f>
        <v>3.550554</v>
      </c>
      <c r="J137" s="17">
        <f>'Datos Actividad'!$Q133*'FE Sectorial'!$H136*'FE Sectorial'!K136/1000/1000</f>
        <v>0.71011079999999993</v>
      </c>
      <c r="K137" s="17">
        <f>'Datos Actividad'!$Q133*'FE Sectorial'!$H136*'FE Sectorial'!L136/1000/1000</f>
        <v>118.3518</v>
      </c>
      <c r="L137" s="17">
        <f>'Datos Actividad'!$Q133*'FE Sectorial'!$H136*'FE Sectorial'!M136/1000/1000</f>
        <v>23.670360000000002</v>
      </c>
      <c r="M137" s="17">
        <f>'Datos Actividad'!$Q133*'FE Sectorial'!$H136*'FE Sectorial'!N136/1000/1000</f>
        <v>5.9175900000000006</v>
      </c>
      <c r="N137" s="17">
        <f>'Datos Actividad'!$Q133*'FE Sectorial'!$H136*'FE Sectorial'!O136/1000/1000</f>
        <v>234.36</v>
      </c>
      <c r="O137" s="87">
        <f>IF(D137&lt;400,H137+I137*'Factores generales'!$M$41+J137*'Factores generales'!$N$41,I137*'Factores generales'!$M$41+J137*'Factores generales'!$N$41)</f>
        <v>90982.946250000008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16886235.327047028</v>
      </c>
      <c r="I138" s="134">
        <f>SUM(I139:I144)</f>
        <v>2489.7095101087589</v>
      </c>
      <c r="J138" s="134">
        <f t="shared" ref="J138:O138" si="38">SUM(J139:J144)</f>
        <v>122.76611060490681</v>
      </c>
      <c r="K138" s="134">
        <f t="shared" si="38"/>
        <v>46058.607741995038</v>
      </c>
      <c r="L138" s="134">
        <f t="shared" si="38"/>
        <v>143753.80165308999</v>
      </c>
      <c r="M138" s="134">
        <f t="shared" si="38"/>
        <v>10414.089111449957</v>
      </c>
      <c r="N138" s="134">
        <f t="shared" si="38"/>
        <v>3422.2873094826441</v>
      </c>
      <c r="O138" s="134">
        <f t="shared" si="38"/>
        <v>16976576.721046831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Actividad'!$Q135*'FE Sectorial'!$H138*'FE Sectorial'!I138*'FE Sectorial'!P138/1000</f>
        <v>1086845.76</v>
      </c>
      <c r="I139" s="17">
        <f>'Datos Actividad'!$Q135*'FE Sectorial'!$H138*'FE Sectorial'!J138/1000/1000</f>
        <v>334.62</v>
      </c>
      <c r="J139" s="17">
        <f>'Datos Actividad'!$Q135*'FE Sectorial'!$H138*'FE Sectorial'!K138/1000/1000</f>
        <v>44.616</v>
      </c>
      <c r="K139" s="17">
        <f>'Datos Actividad'!$Q135*'FE Sectorial'!$H138*'FE Sectorial'!L138/1000/1000</f>
        <v>1115.4000000000001</v>
      </c>
      <c r="L139" s="17">
        <f>'Datos Actividad'!$Q135*'FE Sectorial'!$H138*'FE Sectorial'!M138/1000/1000</f>
        <v>55770</v>
      </c>
      <c r="M139" s="17">
        <f>'Datos Actividad'!$Q135*'FE Sectorial'!$H138*'FE Sectorial'!N138/1000/1000</f>
        <v>6692.4</v>
      </c>
      <c r="N139" s="17">
        <f>'Datos Actividad'!$Q135*'FE Sectorial'!$H138*'FE Sectorial'!O138/1000/1000</f>
        <v>2860</v>
      </c>
      <c r="O139" s="87">
        <f>IF(D139&lt;400,H139+I139*'Factores generales'!$M$41+J139*'Factores generales'!$N$41,I139*'Factores generales'!$M$41+J139*'Factores generales'!$N$41)</f>
        <v>20857.98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Actividad'!$Q136*'FE Sectorial'!$H139*'FE Sectorial'!I139*'FE Sectorial'!P139/1000</f>
        <v>197081.43852729531</v>
      </c>
      <c r="I140" s="17">
        <f>'Datos Actividad'!$Q136*'FE Sectorial'!$H139*'FE Sectorial'!J139/1000/1000</f>
        <v>67.959116733550104</v>
      </c>
      <c r="J140" s="17">
        <f>'Datos Actividad'!$Q136*'FE Sectorial'!$H139*'FE Sectorial'!K139/1000/1000</f>
        <v>9.0612155644733487</v>
      </c>
      <c r="K140" s="17">
        <f>'Datos Actividad'!$Q136*'FE Sectorial'!$H139*'FE Sectorial'!L139/1000/1000</f>
        <v>226.5303891118337</v>
      </c>
      <c r="L140" s="17">
        <f>'Datos Actividad'!$Q136*'FE Sectorial'!$H139*'FE Sectorial'!M139/1000/1000</f>
        <v>11326.519455591684</v>
      </c>
      <c r="M140" s="17">
        <f>'Datos Actividad'!$Q136*'FE Sectorial'!$H139*'FE Sectorial'!N139/1000/1000</f>
        <v>1359.1823346710021</v>
      </c>
      <c r="N140" s="17">
        <f>'Datos Actividad'!$Q136*'FE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4236.1182763912902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Actividad'!$Q137*'FE Sectorial'!$H140*'FE Sectorial'!I140*'FE Sectorial'!P140/1000</f>
        <v>13468509.490909178</v>
      </c>
      <c r="I141" s="17">
        <f>'Datos Actividad'!$Q137*'FE Sectorial'!$H140*'FE Sectorial'!J140/1000/1000</f>
        <v>241.286817168</v>
      </c>
      <c r="J141" s="17">
        <f>'Datos Actividad'!$Q137*'FE Sectorial'!$H140*'FE Sectorial'!K140/1000/1000</f>
        <v>24.128681716800006</v>
      </c>
      <c r="K141" s="17">
        <f>'Datos Actividad'!$Q137*'FE Sectorial'!$H140*'FE Sectorial'!L140/1000/1000</f>
        <v>36193.022575200004</v>
      </c>
      <c r="L141" s="17">
        <f>'Datos Actividad'!$Q137*'FE Sectorial'!$H140*'FE Sectorial'!M140/1000/1000</f>
        <v>12064.340858400003</v>
      </c>
      <c r="M141" s="17">
        <f>'Datos Actividad'!$Q137*'FE Sectorial'!$H140*'FE Sectorial'!N140/1000/1000</f>
        <v>1206.4340858400001</v>
      </c>
      <c r="N141" s="17">
        <f>'Datos Actividad'!$Q137*'FE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13481056.405401913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Actividad'!$Q138*'FE Sectorial'!$H141*'FE Sectorial'!I141*'FE Sectorial'!P141/1000</f>
        <v>2840154.2830356164</v>
      </c>
      <c r="I142" s="17">
        <f>'Datos Actividad'!$Q138*'FE Sectorial'!$H141*'FE Sectorial'!J141/1000/1000</f>
        <v>45.465019178082194</v>
      </c>
      <c r="J142" s="17">
        <f>'Datos Actividad'!$Q138*'FE Sectorial'!$H141*'FE Sectorial'!K141/1000/1000</f>
        <v>4.546501917808218</v>
      </c>
      <c r="K142" s="17">
        <f>'Datos Actividad'!$Q138*'FE Sectorial'!$H141*'FE Sectorial'!L141/1000/1000</f>
        <v>6819.7528767123285</v>
      </c>
      <c r="L142" s="17">
        <f>'Datos Actividad'!$Q138*'FE Sectorial'!$H141*'FE Sectorial'!M141/1000/1000</f>
        <v>2273.2509589041092</v>
      </c>
      <c r="M142" s="17">
        <f>'Datos Actividad'!$Q138*'FE Sectorial'!$H141*'FE Sectorial'!N141/1000/1000</f>
        <v>227.32509589041098</v>
      </c>
      <c r="N142" s="17">
        <f>'Datos Actividad'!$Q138*'FE Sectorial'!$H141*'FE Sectorial'!O141/1000/1000</f>
        <v>192.241095890411</v>
      </c>
      <c r="O142" s="87">
        <f>IF(D142&lt;400,H142+I142*'Factores generales'!$M$41+J142*'Factores generales'!$N$41,I142*'Factores generales'!$M$41+J142*'Factores generales'!$N$41)</f>
        <v>2842518.4640328768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Actividad'!$Q139*'FE Sectorial'!$H142*'FE Sectorial'!I142*'FE Sectorial'!P142/1000</f>
        <v>577571.5531022331</v>
      </c>
      <c r="I143" s="17">
        <f>'Datos Actividad'!$Q139*'FE Sectorial'!$H142*'FE Sectorial'!J142/1000/1000</f>
        <v>24.478557029126211</v>
      </c>
      <c r="J143" s="17">
        <f>'Datos Actividad'!$Q139*'FE Sectorial'!$H142*'FE Sectorial'!K142/1000/1000</f>
        <v>4.8957114058252431</v>
      </c>
      <c r="K143" s="17">
        <f>'Datos Actividad'!$Q139*'FE Sectorial'!$H142*'FE Sectorial'!L142/1000/1000</f>
        <v>815.95190097087391</v>
      </c>
      <c r="L143" s="17">
        <f>'Datos Actividad'!$Q139*'FE Sectorial'!$H142*'FE Sectorial'!M142/1000/1000</f>
        <v>163.19038019417476</v>
      </c>
      <c r="M143" s="17">
        <f>'Datos Actividad'!$Q139*'FE Sectorial'!$H142*'FE Sectorial'!N142/1000/1000</f>
        <v>40.797595048543691</v>
      </c>
      <c r="N143" s="17">
        <f>'Datos Actividad'!$Q139*'FE Sectorial'!$H142*'FE Sectorial'!O142/1000/1000</f>
        <v>370.04621359223302</v>
      </c>
      <c r="O143" s="87">
        <f>IF(D143&lt;400,H143+I143*'Factores generales'!$M$41+J143*'Factores generales'!$N$41,I143*'Factores generales'!$M$41+J143*'Factores generales'!$N$41)</f>
        <v>579603.27333565056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Actividad'!$Q140*'FE Sectorial'!$H143*'FE Sectorial'!I143*'FE Sectorial'!P143/1000</f>
        <v>865218.48</v>
      </c>
      <c r="I144" s="17">
        <f>'Datos Actividad'!$Q140*'FE Sectorial'!$H143*'FE Sectorial'!J143/1000/1000</f>
        <v>1775.9</v>
      </c>
      <c r="J144" s="17">
        <f>'Datos Actividad'!$Q140*'FE Sectorial'!$H143*'FE Sectorial'!K143/1000/1000</f>
        <v>35.518000000000001</v>
      </c>
      <c r="K144" s="17">
        <f>'Datos Actividad'!$Q140*'FE Sectorial'!$H143*'FE Sectorial'!L143/1000/1000</f>
        <v>887.95</v>
      </c>
      <c r="L144" s="17">
        <f>'Datos Actividad'!$Q140*'FE Sectorial'!$H143*'FE Sectorial'!M143/1000/1000</f>
        <v>62156.5</v>
      </c>
      <c r="M144" s="17">
        <f>'Datos Actividad'!$Q140*'FE Sectorial'!$H143*'FE Sectorial'!N143/1000/1000</f>
        <v>887.95</v>
      </c>
      <c r="N144" s="17">
        <f>'Datos Actividad'!$Q140*'FE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48304.480000000003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7103049.9035294112</v>
      </c>
      <c r="I145" s="134">
        <f t="shared" ref="I145:O145" si="39">SUM(I146:I149)</f>
        <v>290.47764705882355</v>
      </c>
      <c r="J145" s="134">
        <f t="shared" si="39"/>
        <v>58.095529411764709</v>
      </c>
      <c r="K145" s="134">
        <f t="shared" si="39"/>
        <v>116191.05882352941</v>
      </c>
      <c r="L145" s="134">
        <f t="shared" si="39"/>
        <v>96825.882352941175</v>
      </c>
      <c r="M145" s="134">
        <f t="shared" si="39"/>
        <v>19365.176470588234</v>
      </c>
      <c r="N145" s="134">
        <f t="shared" si="39"/>
        <v>3512.7529411764704</v>
      </c>
      <c r="O145" s="134">
        <f t="shared" si="39"/>
        <v>7127159.5482352944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Actividad'!$Q142*'FE Sectorial'!$H145*'FE Sectorial'!I145*'FE Sectorial'!P145/1000</f>
        <v>0</v>
      </c>
      <c r="I146" s="17">
        <f>'Datos Actividad'!$Q142*'FE Sectorial'!$H145*'FE Sectorial'!J145/1000/1000</f>
        <v>0</v>
      </c>
      <c r="J146" s="17">
        <f>'Datos Actividad'!$Q142*'FE Sectorial'!$H145*'FE Sectorial'!K145/1000/1000</f>
        <v>0</v>
      </c>
      <c r="K146" s="17">
        <f>'Datos Actividad'!$Q142*'FE Sectorial'!$H145*'FE Sectorial'!L145/1000/1000</f>
        <v>0</v>
      </c>
      <c r="L146" s="17">
        <f>'Datos Actividad'!$Q142*'FE Sectorial'!$H145*'FE Sectorial'!M145/1000/1000</f>
        <v>0</v>
      </c>
      <c r="M146" s="17">
        <f>'Datos Actividad'!$Q142*'FE Sectorial'!$H145*'FE Sectorial'!N145/1000/1000</f>
        <v>0</v>
      </c>
      <c r="N146" s="17">
        <f>'Datos Actividad'!$Q142*'FE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Actividad'!$Q143*'FE Sectorial'!$H146*'FE Sectorial'!I146*'FE Sectorial'!P146/1000</f>
        <v>0</v>
      </c>
      <c r="I147" s="17">
        <f>'Datos Actividad'!$Q143*'FE Sectorial'!$H146*'FE Sectorial'!J146/1000/1000</f>
        <v>0</v>
      </c>
      <c r="J147" s="17">
        <f>'Datos Actividad'!$Q143*'FE Sectorial'!$H146*'FE Sectorial'!K146/1000/1000</f>
        <v>0</v>
      </c>
      <c r="K147" s="17">
        <f>'Datos Actividad'!$Q143*'FE Sectorial'!$H146*'FE Sectorial'!L146/1000/1000</f>
        <v>0</v>
      </c>
      <c r="L147" s="17">
        <f>'Datos Actividad'!$Q143*'FE Sectorial'!$H146*'FE Sectorial'!M146/1000/1000</f>
        <v>0</v>
      </c>
      <c r="M147" s="17">
        <f>'Datos Actividad'!$Q143*'FE Sectorial'!$H146*'FE Sectorial'!N146/1000/1000</f>
        <v>0</v>
      </c>
      <c r="N147" s="17">
        <f>'Datos Actividad'!$Q143*'FE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Actividad'!$Q144*'FE Sectorial'!$H147*'FE Sectorial'!I147*'FE Sectorial'!P147/1000</f>
        <v>7103049.9035294112</v>
      </c>
      <c r="I148" s="17">
        <f>'Datos Actividad'!$Q144*'FE Sectorial'!$H147*'FE Sectorial'!J147/1000/1000</f>
        <v>290.47764705882355</v>
      </c>
      <c r="J148" s="17">
        <f>'Datos Actividad'!$Q144*'FE Sectorial'!$H147*'FE Sectorial'!K147/1000/1000</f>
        <v>58.095529411764709</v>
      </c>
      <c r="K148" s="17">
        <f>'Datos Actividad'!$Q144*'FE Sectorial'!$H147*'FE Sectorial'!L147/1000/1000</f>
        <v>116191.05882352941</v>
      </c>
      <c r="L148" s="17">
        <f>'Datos Actividad'!$Q144*'FE Sectorial'!$H147*'FE Sectorial'!M147/1000/1000</f>
        <v>96825.882352941175</v>
      </c>
      <c r="M148" s="17">
        <f>'Datos Actividad'!$Q144*'FE Sectorial'!$H147*'FE Sectorial'!N147/1000/1000</f>
        <v>19365.176470588234</v>
      </c>
      <c r="N148" s="17">
        <f>'Datos Actividad'!$Q144*'FE Sectorial'!$H147*'FE Sectorial'!O147/1000/1000</f>
        <v>3512.7529411764704</v>
      </c>
      <c r="O148" s="87">
        <f>IF(D148&lt;400,H148+I148*'Factores generales'!$M$41+J148*'Factores generales'!$N$41,I148*'Factores generales'!$M$41+J148*'Factores generales'!$N$41)</f>
        <v>7127159.5482352944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Actividad'!$Q145*'FE Sectorial'!$H148*'FE Sectorial'!I148*'FE Sectorial'!P148/1000</f>
        <v>0</v>
      </c>
      <c r="I149" s="17">
        <f>'Datos Actividad'!$Q145*'FE Sectorial'!$H148*'FE Sectorial'!J148/1000/1000</f>
        <v>0</v>
      </c>
      <c r="J149" s="17">
        <f>'Datos Actividad'!$Q145*'FE Sectorial'!$H148*'FE Sectorial'!K148/1000/1000</f>
        <v>0</v>
      </c>
      <c r="K149" s="17">
        <f>'Datos Actividad'!$Q145*'FE Sectorial'!$H148*'FE Sectorial'!L148/1000/1000</f>
        <v>0</v>
      </c>
      <c r="L149" s="17">
        <f>'Datos Actividad'!$Q145*'FE Sectorial'!$H148*'FE Sectorial'!M148/1000/1000</f>
        <v>0</v>
      </c>
      <c r="M149" s="17">
        <f>'Datos Actividad'!$Q145*'FE Sectorial'!$H148*'FE Sectorial'!N148/1000/1000</f>
        <v>0</v>
      </c>
      <c r="N149" s="17">
        <f>'Datos Actividad'!$Q145*'FE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Actividad'!$Q147*'FE Sectorial'!$H150*'FE Sectorial'!I150*'FE Sectorial'!P150/1000</f>
        <v>0</v>
      </c>
      <c r="I151" s="134">
        <f>'Datos Actividad'!$Q147*'FE Sectorial'!$H150*'FE Sectorial'!J150/1000/1000</f>
        <v>0</v>
      </c>
      <c r="J151" s="134">
        <f>'Datos Actividad'!$Q147*'FE Sectorial'!$H150*'FE Sectorial'!K150/1000/1000</f>
        <v>0</v>
      </c>
      <c r="K151" s="134">
        <f>'Datos Actividad'!$Q147*'FE Sectorial'!$H150*'FE Sectorial'!L150/1000/1000</f>
        <v>0</v>
      </c>
      <c r="L151" s="134">
        <f>'Datos Actividad'!$Q147*'FE Sectorial'!$H150*'FE Sectorial'!M150/1000/1000</f>
        <v>0</v>
      </c>
      <c r="M151" s="134">
        <f>'Datos Actividad'!$Q147*'FE Sectorial'!$H150*'FE Sectorial'!N150/1000/1000</f>
        <v>0</v>
      </c>
      <c r="N151" s="134">
        <f>'Datos Actividad'!$Q147*'FE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Actividad'!$Q148*'FE Sectorial'!$H151*'FE Sectorial'!I151*'FE Sectorial'!P151/1000</f>
        <v>0</v>
      </c>
      <c r="I152" s="134">
        <f>'Datos Actividad'!$Q148*'FE Sectorial'!$H151*'FE Sectorial'!J151/1000/1000</f>
        <v>0</v>
      </c>
      <c r="J152" s="134">
        <f>'Datos Actividad'!$Q148*'FE Sectorial'!$H151*'FE Sectorial'!K151/1000/1000</f>
        <v>0</v>
      </c>
      <c r="K152" s="134">
        <f>'Datos Actividad'!$Q148*'FE Sectorial'!$H151*'FE Sectorial'!L151/1000/1000</f>
        <v>0</v>
      </c>
      <c r="L152" s="134">
        <f>'Datos Actividad'!$Q148*'FE Sectorial'!$H151*'FE Sectorial'!M151/1000/1000</f>
        <v>0</v>
      </c>
      <c r="M152" s="134">
        <f>'Datos Actividad'!$Q148*'FE Sectorial'!$H151*'FE Sectorial'!N151/1000/1000</f>
        <v>0</v>
      </c>
      <c r="N152" s="134">
        <f>'Datos Actividad'!$Q148*'FE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5392637.4199597277</v>
      </c>
      <c r="I153" s="124">
        <f t="shared" ref="I153:N153" si="41">I154+I168</f>
        <v>336417.17189237149</v>
      </c>
      <c r="J153" s="124">
        <f t="shared" si="41"/>
        <v>36.857471695010936</v>
      </c>
      <c r="K153" s="124">
        <f t="shared" si="41"/>
        <v>1509.9154072531314</v>
      </c>
      <c r="L153" s="124">
        <f t="shared" si="41"/>
        <v>2415.8554400000003</v>
      </c>
      <c r="M153" s="124">
        <f t="shared" si="41"/>
        <v>118529.80661696404</v>
      </c>
      <c r="N153" s="124">
        <f t="shared" si="41"/>
        <v>24158.554400000001</v>
      </c>
      <c r="O153" s="124">
        <f>IF(D153&lt;400,H153+I153*'Factores generales'!$M$41+J153*'Factores generales'!$N$41,I153*'Factores generales'!$M$41+J153*'Factores generales'!$N$41)</f>
        <v>12468823.845924983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5392637.4199597277</v>
      </c>
      <c r="I168" s="129">
        <f t="shared" ref="I168:O168" si="44">I169+I188+I204</f>
        <v>333705.58051201241</v>
      </c>
      <c r="J168" s="129">
        <f t="shared" si="44"/>
        <v>36.857471695010936</v>
      </c>
      <c r="K168" s="129">
        <f t="shared" si="44"/>
        <v>1509.9154072531314</v>
      </c>
      <c r="L168" s="129">
        <f t="shared" si="44"/>
        <v>2415.8554400000003</v>
      </c>
      <c r="M168" s="129">
        <f t="shared" si="44"/>
        <v>118529.80661696404</v>
      </c>
      <c r="N168" s="129">
        <f t="shared" si="44"/>
        <v>24158.554400000001</v>
      </c>
      <c r="O168" s="129">
        <f t="shared" si="44"/>
        <v>12411880.42693744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47929.382197088809</v>
      </c>
      <c r="I169" s="134">
        <f t="shared" ref="I169:O169" si="45">SUM(I170:I187)</f>
        <v>15424.802276839155</v>
      </c>
      <c r="J169" s="134">
        <f t="shared" si="45"/>
        <v>0.33722042820683329</v>
      </c>
      <c r="K169" s="134">
        <f t="shared" si="45"/>
        <v>1509.9154072531314</v>
      </c>
      <c r="L169" s="134">
        <f t="shared" si="45"/>
        <v>2415.8554400000003</v>
      </c>
      <c r="M169" s="134">
        <f t="shared" si="45"/>
        <v>67601.6443099186</v>
      </c>
      <c r="N169" s="134">
        <f t="shared" si="45"/>
        <v>24158.554400000001</v>
      </c>
      <c r="O169" s="134">
        <f t="shared" si="45"/>
        <v>371954.76834345527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Actividad'!$Q167*'FE Sectorial'!I170*1000</f>
        <v>260.13717897849699</v>
      </c>
      <c r="I171" s="92">
        <f>'Datos Actividad'!$Q167*'FE Sectorial'!J170*1000</f>
        <v>5.5238379077422897</v>
      </c>
      <c r="J171" s="92">
        <f>'Datos Actividad'!$Q167*'FE Sectorial'!K170*1000</f>
        <v>1.9144712063648281E-3</v>
      </c>
      <c r="K171" s="92">
        <f>'Datos Actividad'!$Q167*'FE Sectorial'!L170*1000</f>
        <v>0</v>
      </c>
      <c r="L171" s="92">
        <f>'Datos Actividad'!$Q167*'FE Sectorial'!M170*1000</f>
        <v>0</v>
      </c>
      <c r="M171" s="92">
        <f>'Datos Actividad'!$Q167*'FE Sectorial'!N170*1000</f>
        <v>0.8511651853035983</v>
      </c>
      <c r="N171" s="92">
        <f>'Datos Actividad'!$Q167*'FE Sectorial'!O170*1000</f>
        <v>0</v>
      </c>
      <c r="O171" s="87">
        <f>IF(D171&lt;400,H171+I171*'Factores generales'!$M$41+J171*'Factores generales'!$N$41,I171*'Factores generales'!$M$41+J171*'Factores generales'!$N$41)</f>
        <v>376.7312611150582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Actividad'!$Q168*'FE Sectorial'!I171*1000</f>
        <v>2972.9963311828228</v>
      </c>
      <c r="I172" s="92">
        <f>'Datos Actividad'!$Q168*'FE Sectorial'!J171*1000</f>
        <v>63.129576088483311</v>
      </c>
      <c r="J172" s="92">
        <f>'Datos Actividad'!$Q168*'FE Sectorial'!K171*1000</f>
        <v>2.1879670929883747E-2</v>
      </c>
      <c r="K172" s="92">
        <f>'Datos Actividad'!$Q168*'FE Sectorial'!L171*1000</f>
        <v>0</v>
      </c>
      <c r="L172" s="92">
        <f>'Datos Actividad'!$Q168*'FE Sectorial'!M171*1000</f>
        <v>0</v>
      </c>
      <c r="M172" s="92">
        <f>'Datos Actividad'!$Q168*'FE Sectorial'!N171*1000</f>
        <v>9.7276021177554099</v>
      </c>
      <c r="N172" s="92">
        <f>'Datos Actividad'!$Q168*'FE Sectorial'!O171*1000</f>
        <v>0</v>
      </c>
      <c r="O172" s="87">
        <f>IF(D172&lt;400,H172+I172*'Factores generales'!$M$41+J172*'Factores generales'!$N$41,I172*'Factores generales'!$M$41+J172*'Factores generales'!$N$41)</f>
        <v>4305.500127029236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Actividad'!$Q169*'FE Sectorial'!I172*1000</f>
        <v>42588.172444193937</v>
      </c>
      <c r="I173" s="92">
        <f>'Datos Actividad'!$Q169*'FE Sectorial'!J172*1000</f>
        <v>904.3311774675235</v>
      </c>
      <c r="J173" s="92">
        <f>'Datos Actividad'!$Q169*'FE Sectorial'!K172*1000</f>
        <v>0.3134262860705847</v>
      </c>
      <c r="K173" s="92">
        <f>'Datos Actividad'!$Q169*'FE Sectorial'!L172*1000</f>
        <v>0</v>
      </c>
      <c r="L173" s="92">
        <f>'Datos Actividad'!$Q169*'FE Sectorial'!M172*1000</f>
        <v>0</v>
      </c>
      <c r="M173" s="92">
        <f>'Datos Actividad'!$Q169*'FE Sectorial'!N172*1000</f>
        <v>139.34790033684624</v>
      </c>
      <c r="N173" s="92">
        <f>'Datos Actividad'!$Q169*'FE Sectorial'!O172*1000</f>
        <v>0</v>
      </c>
      <c r="O173" s="87">
        <f>IF(D173&lt;400,H173+I173*'Factores generales'!$M$41+J173*'Factores generales'!$N$41,I173*'Factores generales'!$M$41+J173*'Factores generales'!$N$41)</f>
        <v>61676.289319693817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Actividad'!$Q171*'FE Sectorial'!I174</f>
        <v>970.35548595107809</v>
      </c>
      <c r="I175" s="92">
        <f>'Datos Actividad'!$Q171*'FE Sectorial'!J174</f>
        <v>13385.097833699998</v>
      </c>
      <c r="J175" s="92">
        <f>'Datos Actividad'!$Q171*'FE Sectorial'!K174</f>
        <v>0</v>
      </c>
      <c r="K175" s="92">
        <f>'Datos Actividad'!$Q171*'FE Sectorial'!L174</f>
        <v>0</v>
      </c>
      <c r="L175" s="92">
        <f>'Datos Actividad'!$Q171*'FE Sectorial'!M174</f>
        <v>0</v>
      </c>
      <c r="M175" s="92">
        <f>'Datos Actividad'!$Q171*'FE Sectorial'!N174</f>
        <v>16393.329924898746</v>
      </c>
      <c r="N175" s="92">
        <f>'Datos Actividad'!$Q171*'FE Sectorial'!O174</f>
        <v>0</v>
      </c>
      <c r="O175" s="87">
        <f>IF(D175&lt;400,H175+I175*'Factores generales'!$M$41+J175*'Factores generales'!$N$41,I175*'Factores generales'!$M$41+J175*'Factores generales'!$N$41)</f>
        <v>282057.40999365103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Actividad'!$Q173*'FE Sectorial'!I176</f>
        <v>0</v>
      </c>
      <c r="I177" s="92">
        <f>'Datos Actividad'!$Q173*'FE Sectorial'!J176</f>
        <v>536.32338274719859</v>
      </c>
      <c r="J177" s="92">
        <f>'Datos Actividad'!$Q173*'FE Sectorial'!K176</f>
        <v>0</v>
      </c>
      <c r="K177" s="92">
        <f>'Datos Actividad'!$Q173*'FE Sectorial'!L176</f>
        <v>0</v>
      </c>
      <c r="L177" s="92">
        <f>'Datos Actividad'!$Q173*'FE Sectorial'!M176</f>
        <v>0</v>
      </c>
      <c r="M177" s="92">
        <f>'Datos Actividad'!$Q173*'FE Sectorial'!N176</f>
        <v>0</v>
      </c>
      <c r="N177" s="92">
        <f>'Datos Actividad'!$Q173*'FE Sectorial'!O176</f>
        <v>0</v>
      </c>
      <c r="O177" s="87">
        <f>IF(D177&lt;400,H177+I177*'Factores generales'!$M$41+J177*'Factores generales'!$N$41,I177*'Factores generales'!$M$41+J177*'Factores generales'!$N$41)</f>
        <v>11262.791037691171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Actividad'!$Q174*'FE Sectorial'!I177</f>
        <v>12.439462937929999</v>
      </c>
      <c r="I178" s="92">
        <f>'Datos Actividad'!$Q174*'FE Sectorial'!J177</f>
        <v>137.08795890779999</v>
      </c>
      <c r="J178" s="92">
        <f>'Datos Actividad'!$Q174*'FE Sectorial'!K177</f>
        <v>0</v>
      </c>
      <c r="K178" s="92">
        <f>'Datos Actividad'!$Q174*'FE Sectorial'!L177</f>
        <v>0</v>
      </c>
      <c r="L178" s="92">
        <f>'Datos Actividad'!$Q174*'FE Sectorial'!M177</f>
        <v>0</v>
      </c>
      <c r="M178" s="92">
        <f>'Datos Actividad'!$Q174*'FE Sectorial'!N177</f>
        <v>1370.8795890780002</v>
      </c>
      <c r="N178" s="92">
        <f>'Datos Actividad'!$Q174*'FE Sectorial'!O177</f>
        <v>0</v>
      </c>
      <c r="O178" s="87">
        <f>IF(D178&lt;400,H178+I178*'Factores generales'!$M$41+J178*'Factores generales'!$N$41,I178*'Factores generales'!$M$41+J178*'Factores generales'!$N$41)</f>
        <v>2891.2866000017298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Actividad'!$Q177*'FE Sectorial'!I180</f>
        <v>0</v>
      </c>
      <c r="I181" s="92">
        <f>'Datos Actividad'!$Q177*'FE Sectorial'!J180</f>
        <v>311.78811671645781</v>
      </c>
      <c r="J181" s="92">
        <f>'Datos Actividad'!$Q177*'FE Sectorial'!K180</f>
        <v>0</v>
      </c>
      <c r="K181" s="92">
        <f>'Datos Actividad'!$Q177*'FE Sectorial'!L180</f>
        <v>1509.9096500000001</v>
      </c>
      <c r="L181" s="92">
        <f>'Datos Actividad'!$Q177*'FE Sectorial'!M180</f>
        <v>2415.8554400000003</v>
      </c>
      <c r="M181" s="92">
        <f>'Datos Actividad'!$Q177*'FE Sectorial'!N180</f>
        <v>39257.650900000001</v>
      </c>
      <c r="N181" s="92">
        <f>'Datos Actividad'!$Q177*'FE Sectorial'!O180</f>
        <v>24158.554400000001</v>
      </c>
      <c r="O181" s="87">
        <f>IF(D181&lt;400,H181+I181*'Factores generales'!$M$41+J181*'Factores generales'!$N$41,I181*'Factores generales'!$M$41+J181*'Factores generales'!$N$41)</f>
        <v>6547.550451045614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Actividad'!$Q179*'FE Sectorial'!I182</f>
        <v>0</v>
      </c>
      <c r="I183" s="92">
        <f>'Datos Actividad'!$Q179*'FE Sectorial'!J182</f>
        <v>81.520393303951963</v>
      </c>
      <c r="J183" s="92">
        <f>'Datos Actividad'!$Q179*'FE Sectorial'!K182</f>
        <v>0</v>
      </c>
      <c r="K183" s="92">
        <f>'Datos Actividad'!$Q179*'FE Sectorial'!L182</f>
        <v>0</v>
      </c>
      <c r="L183" s="92">
        <f>'Datos Actividad'!$Q179*'FE Sectorial'!M182</f>
        <v>0</v>
      </c>
      <c r="M183" s="92">
        <f>'Datos Actividad'!$Q179*'FE Sectorial'!N182</f>
        <v>0</v>
      </c>
      <c r="N183" s="92">
        <f>'Datos Actividad'!$Q179*'FE Sectorial'!O182</f>
        <v>0</v>
      </c>
      <c r="O183" s="87">
        <f>IF(D183&lt;400,H183+I183*'Factores generales'!$M$41+J183*'Factores generales'!$N$41,I183*'Factores generales'!$M$41+J183*'Factores generales'!$N$41)</f>
        <v>1711.9282593829912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Actividad'!$Q181*'FE Sectorial'!I184</f>
        <v>0</v>
      </c>
      <c r="I185" s="92">
        <f>'Datos Actividad'!$Q181*'FE Sectorial'!J184</f>
        <v>0</v>
      </c>
      <c r="J185" s="92">
        <f>'Datos Actividad'!$Q181*'FE Sectorial'!K184</f>
        <v>0</v>
      </c>
      <c r="K185" s="92">
        <f>'Datos Actividad'!$Q181*'FE Sectorial'!L184</f>
        <v>0</v>
      </c>
      <c r="L185" s="92">
        <f>'Datos Actividad'!$Q181*'FE Sectorial'!M184</f>
        <v>0</v>
      </c>
      <c r="M185" s="92">
        <f>'Datos Actividad'!$Q181*'FE Sectorial'!N184</f>
        <v>10429.857228301953</v>
      </c>
      <c r="N185" s="92">
        <f>'Datos Actividad'!$Q181*'FE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Actividad'!$Q182*'FE Sectorial'!I185</f>
        <v>1125.2812938445445</v>
      </c>
      <c r="I186" s="92">
        <f>'Datos Actividad'!$Q182*'FE Sectorial'!J185</f>
        <v>0</v>
      </c>
      <c r="J186" s="92">
        <f>'Datos Actividad'!$Q182*'FE Sectorial'!K185</f>
        <v>0</v>
      </c>
      <c r="K186" s="92">
        <f>'Datos Actividad'!$Q182*'FE Sectorial'!L185</f>
        <v>5.7572531312976702E-3</v>
      </c>
      <c r="L186" s="92">
        <f>'Datos Actividad'!$Q182*'FE Sectorial'!M185</f>
        <v>0</v>
      </c>
      <c r="M186" s="92">
        <f>'Datos Actividad'!$Q182*'FE Sectorial'!N185</f>
        <v>0</v>
      </c>
      <c r="N186" s="92">
        <f>'Datos Actividad'!$Q182*'FE Sectorial'!O185</f>
        <v>0</v>
      </c>
      <c r="O186" s="87">
        <f>IF(D186&lt;400,H186+I186*'Factores generales'!$M$41+J186*'Factores generales'!$N$41,I186*'Factores generales'!$M$41+J186*'Factores generales'!$N$41)</f>
        <v>1125.2812938445445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5357.0013382899278</v>
      </c>
      <c r="I188" s="134">
        <f t="shared" ref="I188:O188" si="46">SUM(I189:I203)</f>
        <v>273076.81355845986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26989.50510155068</v>
      </c>
      <c r="N188" s="134">
        <f t="shared" si="46"/>
        <v>0</v>
      </c>
      <c r="O188" s="134">
        <f t="shared" si="46"/>
        <v>5739970.0860659471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Actividad'!$Q187*'FE Sectorial'!I190</f>
        <v>2411.5169440026825</v>
      </c>
      <c r="I191" s="92">
        <f>'Datos Actividad'!$Q187*'FE Sectorial'!J190</f>
        <v>145073.29211916018</v>
      </c>
      <c r="J191" s="92">
        <f>'Datos Actividad'!$Q187*'FE Sectorial'!K190</f>
        <v>0</v>
      </c>
      <c r="K191" s="92">
        <f>'Datos Actividad'!$Q187*'FE Sectorial'!L190</f>
        <v>0</v>
      </c>
      <c r="L191" s="92">
        <f>'Datos Actividad'!$Q187*'FE Sectorial'!M190</f>
        <v>0</v>
      </c>
      <c r="M191" s="92">
        <f>'Datos Actividad'!$Q187*'FE Sectorial'!N190</f>
        <v>15874.547933275293</v>
      </c>
      <c r="N191" s="92">
        <f>'Datos Actividad'!$Q187*'FE Sectorial'!O190</f>
        <v>0</v>
      </c>
      <c r="O191" s="87">
        <f>IF(D191&lt;400,H191+I191*'Factores generales'!$M$41+J191*'Factores generales'!$N$41,I191*'Factores generales'!$M$41+J191*'Factores generales'!$N$41)</f>
        <v>3048950.6514463667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Actividad'!$Q189*'FE Sectorial'!I192</f>
        <v>880.56148535746104</v>
      </c>
      <c r="I193" s="92">
        <f>'Datos Actividad'!$Q189*'FE Sectorial'!J192</f>
        <v>11007.018566968265</v>
      </c>
      <c r="J193" s="92">
        <f>'Datos Actividad'!$Q189*'FE Sectorial'!K192</f>
        <v>0</v>
      </c>
      <c r="K193" s="92">
        <f>'Datos Actividad'!$Q189*'FE Sectorial'!L192</f>
        <v>0</v>
      </c>
      <c r="L193" s="92">
        <f>'Datos Actividad'!$Q189*'FE Sectorial'!M192</f>
        <v>0</v>
      </c>
      <c r="M193" s="92">
        <f>'Datos Actividad'!$Q189*'FE Sectorial'!N192</f>
        <v>10167.848212182938</v>
      </c>
      <c r="N193" s="92">
        <f>'Datos Actividad'!$Q189*'FE Sectorial'!O192</f>
        <v>0</v>
      </c>
      <c r="O193" s="87">
        <f>IF(D193&lt;400,H193+I193*'Factores generales'!$M$41+J193*'Factores generales'!$N$41,I193*'Factores generales'!$M$41+J193*'Factores generales'!$N$41)</f>
        <v>232027.95139169102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Actividad'!$Q192*'FE Sectorial'!I195</f>
        <v>50.387762093525261</v>
      </c>
      <c r="I196" s="92">
        <f>'Datos Actividad'!$Q192*'FE Sectorial'!J195</f>
        <v>15677.772079896195</v>
      </c>
      <c r="J196" s="92">
        <f>'Datos Actividad'!$Q192*'FE Sectorial'!K195</f>
        <v>0</v>
      </c>
      <c r="K196" s="92">
        <f>'Datos Actividad'!$Q192*'FE Sectorial'!L195</f>
        <v>0</v>
      </c>
      <c r="L196" s="92">
        <f>'Datos Actividad'!$Q192*'FE Sectorial'!M195</f>
        <v>0</v>
      </c>
      <c r="M196" s="92">
        <f>'Datos Actividad'!$Q192*'FE Sectorial'!N195</f>
        <v>374.92327609245029</v>
      </c>
      <c r="N196" s="92">
        <f>'Datos Actividad'!$Q192*'FE Sectorial'!O195</f>
        <v>0</v>
      </c>
      <c r="O196" s="87">
        <f>IF(D196&lt;400,H196+I196*'Factores generales'!$M$41+J196*'Factores generales'!$N$41,I196*'Factores generales'!$M$41+J196*'Factores generales'!$N$41)</f>
        <v>329283.60143991362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Actividad'!$Q194*'FE Sectorial'!I197</f>
        <v>2014.5351468362587</v>
      </c>
      <c r="I198" s="92">
        <f>'Datos Actividad'!$Q194*'FE Sectorial'!J197</f>
        <v>39535.941895299213</v>
      </c>
      <c r="J198" s="92">
        <f>'Datos Actividad'!$Q194*'FE Sectorial'!K197</f>
        <v>0</v>
      </c>
      <c r="K198" s="92">
        <f>'Datos Actividad'!$Q194*'FE Sectorial'!L197</f>
        <v>0</v>
      </c>
      <c r="L198" s="92">
        <f>'Datos Actividad'!$Q194*'FE Sectorial'!M197</f>
        <v>0</v>
      </c>
      <c r="M198" s="92">
        <f>'Datos Actividad'!$Q194*'FE Sectorial'!N197</f>
        <v>572.18568000000005</v>
      </c>
      <c r="N198" s="92">
        <f>'Datos Actividad'!$Q194*'FE Sectorial'!O197</f>
        <v>0</v>
      </c>
      <c r="O198" s="87">
        <f>IF(D198&lt;400,H198+I198*'Factores generales'!$M$41+J198*'Factores generales'!$N$41,I198*'Factores generales'!$M$41+J198*'Factores generales'!$N$41)</f>
        <v>832269.31494811981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Actividad'!$Q197*'FE Sectorial'!I200</f>
        <v>0</v>
      </c>
      <c r="I201" s="92">
        <f>'Datos Actividad'!$Q197*'FE Sectorial'!J200</f>
        <v>49244.896272600003</v>
      </c>
      <c r="J201" s="92">
        <f>'Datos Actividad'!$Q197*'FE Sectorial'!K200</f>
        <v>0</v>
      </c>
      <c r="K201" s="92">
        <f>'Datos Actividad'!$Q197*'FE Sectorial'!L200</f>
        <v>0</v>
      </c>
      <c r="L201" s="92">
        <f>'Datos Actividad'!$Q197*'FE Sectorial'!M200</f>
        <v>0</v>
      </c>
      <c r="M201" s="92">
        <f>'Datos Actividad'!$Q197*'FE Sectorial'!N200</f>
        <v>0</v>
      </c>
      <c r="N201" s="92">
        <f>'Datos Actividad'!$Q197*'FE Sectorial'!O200</f>
        <v>0</v>
      </c>
      <c r="O201" s="87">
        <f>IF(D201&lt;400,H201+I201*'Factores generales'!$M$41+J201*'Factores generales'!$N$41,I201*'Factores generales'!$M$41+J201*'Factores generales'!$N$41)</f>
        <v>1034142.8217246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Actividad'!$Q199*'FE Sectorial'!I202</f>
        <v>0</v>
      </c>
      <c r="I203" s="92">
        <f>'Datos Actividad'!$Q199*'FE Sectorial'!J202</f>
        <v>12537.892624536</v>
      </c>
      <c r="J203" s="92">
        <f>'Datos Actividad'!$Q199*'FE Sectorial'!K202</f>
        <v>0</v>
      </c>
      <c r="K203" s="92">
        <f>'Datos Actividad'!$Q199*'FE Sectorial'!L202</f>
        <v>0</v>
      </c>
      <c r="L203" s="92">
        <f>'Datos Actividad'!$Q199*'FE Sectorial'!M202</f>
        <v>0</v>
      </c>
      <c r="M203" s="92">
        <f>'Datos Actividad'!$Q199*'FE Sectorial'!N202</f>
        <v>0</v>
      </c>
      <c r="N203" s="92">
        <f>'Datos Actividad'!$Q199*'FE Sectorial'!O202</f>
        <v>0</v>
      </c>
      <c r="O203" s="87">
        <f>IF(D203&lt;400,H203+I203*'Factores generales'!$M$41+J203*'Factores generales'!$N$41,I203*'Factores generales'!$M$41+J203*'Factores generales'!$N$41)</f>
        <v>263295.745115256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5339351.0364243491</v>
      </c>
      <c r="I204" s="134">
        <f t="shared" ref="I204:O204" si="47">SUM(I205:I221)</f>
        <v>45203.964676713375</v>
      </c>
      <c r="J204" s="134">
        <f t="shared" si="47"/>
        <v>36.520251266804102</v>
      </c>
      <c r="K204" s="134">
        <f t="shared" si="47"/>
        <v>0</v>
      </c>
      <c r="L204" s="134">
        <f t="shared" si="47"/>
        <v>0</v>
      </c>
      <c r="M204" s="134">
        <f t="shared" si="47"/>
        <v>23938.657205494757</v>
      </c>
      <c r="N204" s="134">
        <f t="shared" si="47"/>
        <v>0</v>
      </c>
      <c r="O204" s="134">
        <f t="shared" si="47"/>
        <v>6299955.5725280382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Actividad'!$Q203*'FE Sectorial'!I206</f>
        <v>4958.3111188509065</v>
      </c>
      <c r="I207" s="92">
        <f>'Datos Actividad'!$Q203*'FE Sectorial'!J206</f>
        <v>37669.004295578954</v>
      </c>
      <c r="J207" s="92">
        <f>'Datos Actividad'!$Q203*'FE Sectorial'!K206</f>
        <v>0</v>
      </c>
      <c r="K207" s="92">
        <f>'Datos Actividad'!$Q203*'FE Sectorial'!L206</f>
        <v>0</v>
      </c>
      <c r="L207" s="92">
        <f>'Datos Actividad'!$Q203*'FE Sectorial'!M206</f>
        <v>0</v>
      </c>
      <c r="M207" s="92">
        <f>'Datos Actividad'!$Q203*'FE Sectorial'!N206</f>
        <v>22472.972934738907</v>
      </c>
      <c r="N207" s="92">
        <f>'Datos Actividad'!$Q203*'FE Sectorial'!O206</f>
        <v>0</v>
      </c>
      <c r="O207" s="87">
        <f>IF(D207&lt;400,H207+I207*'Factores generales'!$M$41+J207*'Factores generales'!$N$41,I207*'Factores generales'!$M$41+J207*'Factores generales'!$N$41)</f>
        <v>796007.40132600896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Actividad'!$Q205*'FE Sectorial'!I208</f>
        <v>2137894.337542553</v>
      </c>
      <c r="I209" s="92">
        <f>'Datos Actividad'!$Q205*'FE Sectorial'!J208</f>
        <v>1300.7976929350457</v>
      </c>
      <c r="J209" s="92">
        <f>'Datos Actividad'!$Q205*'FE Sectorial'!K208</f>
        <v>33.48355937384796</v>
      </c>
      <c r="K209" s="92">
        <f>'Datos Actividad'!$Q205*'FE Sectorial'!L208</f>
        <v>0</v>
      </c>
      <c r="L209" s="92">
        <f>'Datos Actividad'!$Q205*'FE Sectorial'!M208</f>
        <v>0</v>
      </c>
      <c r="M209" s="92">
        <f>'Datos Actividad'!$Q205*'FE Sectorial'!N208</f>
        <v>1101.0548175211691</v>
      </c>
      <c r="N209" s="92">
        <f>'Datos Actividad'!$Q205*'FE Sectorial'!O208</f>
        <v>0</v>
      </c>
      <c r="O209" s="87">
        <f>IF(D209&lt;400,H209+I209*'Factores generales'!$M$41+J209*'Factores generales'!$N$41,I209*'Factores generales'!$M$41+J209*'Factores generales'!$N$41)</f>
        <v>2175590.9925000817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Actividad'!$Q209*'FE Sectorial'!I212</f>
        <v>2961296.1749805878</v>
      </c>
      <c r="I213" s="92">
        <f>'Datos Actividad'!$Q209*'FE Sectorial'!J212</f>
        <v>0</v>
      </c>
      <c r="J213" s="92">
        <f>'Datos Actividad'!$Q209*'FE Sectorial'!K212</f>
        <v>0</v>
      </c>
      <c r="K213" s="92">
        <f>'Datos Actividad'!$Q209*'FE Sectorial'!L212</f>
        <v>0</v>
      </c>
      <c r="L213" s="92">
        <f>'Datos Actividad'!$Q209*'FE Sectorial'!M212</f>
        <v>0</v>
      </c>
      <c r="M213" s="92">
        <f>'Datos Actividad'!$Q209*'FE Sectorial'!N212</f>
        <v>0</v>
      </c>
      <c r="N213" s="92">
        <f>'Datos Actividad'!$Q209*'FE Sectorial'!O212</f>
        <v>0</v>
      </c>
      <c r="O213" s="87">
        <f>IF(D213&lt;400,H213+I213*'Factores generales'!$M$41+J213*'Factores generales'!$N$41,I213*'Factores generales'!$M$41+J213*'Factores generales'!$N$41)</f>
        <v>2961296.1749805878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Actividad'!$Q211*'FE Sectorial'!I214</f>
        <v>160.25216460781226</v>
      </c>
      <c r="I215" s="92">
        <f>'Datos Actividad'!$Q211*'FE Sectorial'!J214</f>
        <v>6078.6036371340506</v>
      </c>
      <c r="J215" s="92">
        <f>'Datos Actividad'!$Q211*'FE Sectorial'!K214</f>
        <v>0</v>
      </c>
      <c r="K215" s="92">
        <f>'Datos Actividad'!$Q211*'FE Sectorial'!L214</f>
        <v>0</v>
      </c>
      <c r="L215" s="92">
        <f>'Datos Actividad'!$Q211*'FE Sectorial'!M214</f>
        <v>0</v>
      </c>
      <c r="M215" s="92">
        <f>'Datos Actividad'!$Q211*'FE Sectorial'!N214</f>
        <v>239.62762639084642</v>
      </c>
      <c r="N215" s="92">
        <f>'Datos Actividad'!$Q211*'FE Sectorial'!O214</f>
        <v>0</v>
      </c>
      <c r="O215" s="87">
        <f>IF(D215&lt;400,H215+I215*'Factores generales'!$M$41+J215*'Factores generales'!$N$41,I215*'Factores generales'!$M$41+J215*'Factores generales'!$N$41)</f>
        <v>127810.92854442287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Actividad'!$Q214*'FE Sectorial'!I217</f>
        <v>66564.191553071025</v>
      </c>
      <c r="I218" s="92">
        <f>'Datos Actividad'!$Q214*'FE Sectorial'!J217</f>
        <v>41.879052128611171</v>
      </c>
      <c r="J218" s="92">
        <f>'Datos Actividad'!$Q214*'FE Sectorial'!K217</f>
        <v>1.1854921803662715</v>
      </c>
      <c r="K218" s="92">
        <f>'Datos Actividad'!$Q214*'FE Sectorial'!L217</f>
        <v>0</v>
      </c>
      <c r="L218" s="92">
        <f>'Datos Actividad'!$Q214*'FE Sectorial'!M217</f>
        <v>0</v>
      </c>
      <c r="M218" s="92">
        <f>'Datos Actividad'!$Q214*'FE Sectorial'!N217</f>
        <v>34.873485418717493</v>
      </c>
      <c r="N218" s="92">
        <f>'Datos Actividad'!$Q214*'FE Sectorial'!O217</f>
        <v>0</v>
      </c>
      <c r="O218" s="87">
        <f>IF(D218&lt;400,H218+I218*'Factores generales'!$M$41+J218*'Factores generales'!$N$41,I218*'Factores generales'!$M$41+J218*'Factores generales'!$N$41)</f>
        <v>67811.1542236854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Actividad'!$Q216*'FE Sectorial'!I219</f>
        <v>168477.76906467849</v>
      </c>
      <c r="I220" s="92">
        <f>'Datos Actividad'!$Q216*'FE Sectorial'!J219</f>
        <v>113.67999893670377</v>
      </c>
      <c r="J220" s="92">
        <f>'Datos Actividad'!$Q216*'FE Sectorial'!K219</f>
        <v>1.8511997125898674</v>
      </c>
      <c r="K220" s="92">
        <f>'Datos Actividad'!$Q216*'FE Sectorial'!L219</f>
        <v>0</v>
      </c>
      <c r="L220" s="92">
        <f>'Datos Actividad'!$Q216*'FE Sectorial'!M219</f>
        <v>0</v>
      </c>
      <c r="M220" s="92">
        <f>'Datos Actividad'!$Q216*'FE Sectorial'!N219</f>
        <v>90.128341425115607</v>
      </c>
      <c r="N220" s="92">
        <f>'Datos Actividad'!$Q216*'FE Sectorial'!O219</f>
        <v>0</v>
      </c>
      <c r="O220" s="87">
        <f>IF(D220&lt;400,H220+I220*'Factores generales'!$M$41+J220*'Factores generales'!$N$41,I220*'Factores generales'!$M$41+J220*'Factores generales'!$N$41)</f>
        <v>171438.92095325212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10252631.561134635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3994489.9900927879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2342740.859552294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1651749.1305404941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129846365.77649662</v>
      </c>
      <c r="I5" s="138">
        <f t="shared" si="0"/>
        <v>343298.51158163592</v>
      </c>
      <c r="J5" s="138">
        <f t="shared" si="0"/>
        <v>3695.5458564705882</v>
      </c>
      <c r="K5" s="138">
        <f t="shared" si="0"/>
        <v>738216.63647275406</v>
      </c>
      <c r="L5" s="138">
        <f t="shared" si="0"/>
        <v>2368104.7764206808</v>
      </c>
      <c r="M5" s="138">
        <f t="shared" si="0"/>
        <v>486861.42265233613</v>
      </c>
      <c r="N5" s="138">
        <f t="shared" si="0"/>
        <v>79621.950799099141</v>
      </c>
      <c r="O5" s="138">
        <f t="shared" si="0"/>
        <v>138340995.61021686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124753754.2000218</v>
      </c>
      <c r="I6" s="124">
        <f t="shared" si="1"/>
        <v>17477.199262719831</v>
      </c>
      <c r="J6" s="124">
        <f t="shared" si="1"/>
        <v>3657.750283690174</v>
      </c>
      <c r="K6" s="124">
        <f t="shared" si="1"/>
        <v>736614.34336250741</v>
      </c>
      <c r="L6" s="124">
        <f t="shared" si="1"/>
        <v>2365541.1170606809</v>
      </c>
      <c r="M6" s="124">
        <f t="shared" si="1"/>
        <v>363677.61270271422</v>
      </c>
      <c r="N6" s="124">
        <f t="shared" si="1"/>
        <v>53985.357199099133</v>
      </c>
      <c r="O6" s="124">
        <f t="shared" si="1"/>
        <v>126394419.84748286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36926984.482946225</v>
      </c>
      <c r="I7" s="129">
        <f t="shared" si="2"/>
        <v>753.65600109654133</v>
      </c>
      <c r="J7" s="129">
        <f t="shared" si="2"/>
        <v>120.66750418172843</v>
      </c>
      <c r="K7" s="129">
        <f t="shared" si="2"/>
        <v>99734.394969682413</v>
      </c>
      <c r="L7" s="129">
        <f t="shared" si="2"/>
        <v>12175.473997224941</v>
      </c>
      <c r="M7" s="129">
        <f t="shared" si="2"/>
        <v>3124.3586666591764</v>
      </c>
      <c r="N7" s="129">
        <f t="shared" si="2"/>
        <v>26726.230501982274</v>
      </c>
      <c r="O7" s="129">
        <f t="shared" si="2"/>
        <v>36980218.185265586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25196896.094498042</v>
      </c>
      <c r="I8" s="134">
        <f t="shared" si="3"/>
        <v>506.02850232000003</v>
      </c>
      <c r="J8" s="134">
        <f t="shared" si="3"/>
        <v>81.882068952000012</v>
      </c>
      <c r="K8" s="134">
        <f t="shared" si="3"/>
        <v>68235.596468000003</v>
      </c>
      <c r="L8" s="134">
        <f t="shared" si="3"/>
        <v>8362.9460063999995</v>
      </c>
      <c r="M8" s="134">
        <f t="shared" si="3"/>
        <v>2139.5593915999998</v>
      </c>
      <c r="N8" s="134">
        <f t="shared" si="3"/>
        <v>20268.22104</v>
      </c>
      <c r="O8" s="134">
        <f t="shared" si="3"/>
        <v>25232906.134421885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25196896.094498042</v>
      </c>
      <c r="I9" s="93">
        <f t="shared" ref="I9:O9" si="4">I10+I11+I12+I13+I14</f>
        <v>506.02850232000003</v>
      </c>
      <c r="J9" s="93">
        <f t="shared" si="4"/>
        <v>81.882068952000012</v>
      </c>
      <c r="K9" s="93">
        <f t="shared" si="4"/>
        <v>68235.596468000003</v>
      </c>
      <c r="L9" s="93">
        <f t="shared" si="4"/>
        <v>8362.9460063999995</v>
      </c>
      <c r="M9" s="93">
        <f t="shared" si="4"/>
        <v>2139.5593915999998</v>
      </c>
      <c r="N9" s="93">
        <f t="shared" si="4"/>
        <v>20268.22104</v>
      </c>
      <c r="O9" s="93">
        <f t="shared" si="4"/>
        <v>25232906.134421885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Actividad'!$R6*'FE Sectorial'!$H9*'FE Sectorial'!I9*'FE Sectorial'!$P9/1000</f>
        <v>1295377.4374463998</v>
      </c>
      <c r="I10" s="92">
        <f>'Datos Actividad'!$R6*'FE Sectorial'!$H9*'FE Sectorial'!J9/1000/1000</f>
        <v>13.972660800000002</v>
      </c>
      <c r="J10" s="92">
        <f>'Datos Actividad'!$R6*'FE Sectorial'!$H9*'FE Sectorial'!K9/1000/1000</f>
        <v>20.958991200000003</v>
      </c>
      <c r="K10" s="92">
        <f>'Datos Actividad'!$R6*'FE Sectorial'!$H9*'FE Sectorial'!L9/1000/1000</f>
        <v>4191.7982400000001</v>
      </c>
      <c r="L10" s="92">
        <f>'Datos Actividad'!$R6*'FE Sectorial'!$H9*'FE Sectorial'!M9/1000/1000</f>
        <v>279.453216</v>
      </c>
      <c r="M10" s="92">
        <f>'Datos Actividad'!$R6*'FE Sectorial'!$H9*'FE Sectorial'!N9/1000/1000</f>
        <v>69.863303999999999</v>
      </c>
      <c r="N10" s="92">
        <f>'Datos Actividad'!$R6*'FE Sectorial'!$H9*'FE Sectorial'!O9/1000/1000</f>
        <v>13376.927200000002</v>
      </c>
      <c r="O10" s="92">
        <f>IF(D10&lt;400,H10+I10*'Factores generales'!$M$41+J10*'Factores generales'!$N$41,I10*'Factores generales'!$M$41+J10*'Factores generales'!$N$41)</f>
        <v>1302168.1505951998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Actividad'!$R7*'FE Sectorial'!$H10*'FE Sectorial'!I10*'FE Sectorial'!$P10/1000</f>
        <v>382361.92651800002</v>
      </c>
      <c r="I11" s="17">
        <f>'Datos Actividad'!$R7*'FE Sectorial'!$H10*'FE Sectorial'!J10/1000/1000</f>
        <v>15.636606</v>
      </c>
      <c r="J11" s="17">
        <f>'Datos Actividad'!$R7*'FE Sectorial'!$H10*'FE Sectorial'!K10/1000/1000</f>
        <v>3.1273211999999999</v>
      </c>
      <c r="K11" s="17">
        <f>'Datos Actividad'!$R7*'FE Sectorial'!$H10*'FE Sectorial'!L10/1000/1000</f>
        <v>1042.4404</v>
      </c>
      <c r="L11" s="17">
        <f>'Datos Actividad'!$R7*'FE Sectorial'!$H10*'FE Sectorial'!M10/1000/1000</f>
        <v>78.183030000000002</v>
      </c>
      <c r="M11" s="17">
        <f>'Datos Actividad'!$R7*'FE Sectorial'!$H10*'FE Sectorial'!N10/1000/1000</f>
        <v>26.06101</v>
      </c>
      <c r="N11" s="17">
        <f>'Datos Actividad'!$R7*'FE Sectorial'!$H10*'FE Sectorial'!O10/1000/1000</f>
        <v>189.09384</v>
      </c>
      <c r="O11" s="17">
        <f>IF(D11&lt;400,H11+I11*'Factores generales'!$M$41+J11*'Factores generales'!$N$41,I11*'Factores generales'!$M$41+J11*'Factores generales'!$N$41)</f>
        <v>383659.76481600001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Actividad'!$R8*'FE Sectorial'!$H11*'FE Sectorial'!I11*'FE Sectorial'!$P11/1000</f>
        <v>2593492.0248600002</v>
      </c>
      <c r="I12" s="92">
        <f>'Datos Actividad'!$R8*'FE Sectorial'!$H11*'FE Sectorial'!J11/1000/1000</f>
        <v>101.53833</v>
      </c>
      <c r="J12" s="92">
        <f>'Datos Actividad'!$R8*'FE Sectorial'!$H11*'FE Sectorial'!K11/1000/1000</f>
        <v>20.307666000000001</v>
      </c>
      <c r="K12" s="92">
        <f>'Datos Actividad'!$R8*'FE Sectorial'!$H11*'FE Sectorial'!L11/1000/1000</f>
        <v>6769.2219999999998</v>
      </c>
      <c r="L12" s="92">
        <f>'Datos Actividad'!$R8*'FE Sectorial'!$H11*'FE Sectorial'!M11/1000/1000</f>
        <v>507.69165000000004</v>
      </c>
      <c r="M12" s="92">
        <f>'Datos Actividad'!$R8*'FE Sectorial'!$H11*'FE Sectorial'!N11/1000/1000</f>
        <v>169.23054999999999</v>
      </c>
      <c r="N12" s="92">
        <f>'Datos Actividad'!$R8*'FE Sectorial'!$H11*'FE Sectorial'!O11/1000/1000</f>
        <v>6702.2</v>
      </c>
      <c r="O12" s="92">
        <f>IF(D12&lt;400,H12+I12*'Factores generales'!$M$41+J12*'Factores generales'!$N$41,I12*'Factores generales'!$M$41+J12*'Factores generales'!$N$41)</f>
        <v>2601919.7062500003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Actividad'!$R9*'FE Sectorial'!$H12*'FE Sectorial'!I12*'FE Sectorial'!$P12/1000</f>
        <v>20925664.705673642</v>
      </c>
      <c r="I13" s="17">
        <f>'Datos Actividad'!$R9*'FE Sectorial'!$H12*'FE Sectorial'!J12/1000/1000</f>
        <v>374.88090552</v>
      </c>
      <c r="J13" s="17">
        <f>'Datos Actividad'!$R9*'FE Sectorial'!$H12*'FE Sectorial'!K12/1000/1000</f>
        <v>37.488090552000003</v>
      </c>
      <c r="K13" s="17">
        <f>'Datos Actividad'!$R9*'FE Sectorial'!$H12*'FE Sectorial'!L12/1000/1000</f>
        <v>56232.135827999999</v>
      </c>
      <c r="L13" s="17">
        <f>'Datos Actividad'!$R9*'FE Sectorial'!$H12*'FE Sectorial'!M12/1000/1000</f>
        <v>7497.6181103999998</v>
      </c>
      <c r="M13" s="17">
        <f>'Datos Actividad'!$R9*'FE Sectorial'!$H12*'FE Sectorial'!N12/1000/1000</f>
        <v>1874.4045275999999</v>
      </c>
      <c r="N13" s="17">
        <f>'Datos Actividad'!$R9*'FE Sectorial'!$H12*'FE Sectorial'!O12/1000/1000</f>
        <v>0</v>
      </c>
      <c r="O13" s="17">
        <f>IF(D13&lt;400,H13+I13*'Factores generales'!$M$41+J13*'Factores generales'!$N$41,I13*'Factores generales'!$M$41+J13*'Factores generales'!$N$41)</f>
        <v>20945158.512760684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Actividad'!$R10*'FE Sectorial'!$H13*'FE Sectorial'!I13*'FE Sectorial'!$P13/1000</f>
        <v>0</v>
      </c>
      <c r="I14" s="147">
        <f>'Datos Actividad'!$R10*'FE Sectorial'!$H13*'FE Sectorial'!J13/1000/1000</f>
        <v>0</v>
      </c>
      <c r="J14" s="147">
        <f>'Datos Actividad'!$R10*'FE Sectorial'!$H13*'FE Sectorial'!K13/1000/1000</f>
        <v>0</v>
      </c>
      <c r="K14" s="147">
        <f>'Datos Actividad'!$R10*'FE Sectorial'!$H13*'FE Sectorial'!L13/1000/1000</f>
        <v>0</v>
      </c>
      <c r="L14" s="147">
        <f>'Datos Actividad'!$R10*'FE Sectorial'!$H13*'FE Sectorial'!M13/1000/1000</f>
        <v>0</v>
      </c>
      <c r="M14" s="147">
        <f>'Datos Actividad'!$R10*'FE Sectorial'!$H13*'FE Sectorial'!N13/1000/1000</f>
        <v>0</v>
      </c>
      <c r="N14" s="147">
        <f>'Datos Actividad'!$R10*'FE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5067814.4234905802</v>
      </c>
      <c r="I17" s="134">
        <f t="shared" ref="I17:O17" si="5">SUM(I18:I25)</f>
        <v>129.44938677654119</v>
      </c>
      <c r="J17" s="134">
        <f t="shared" si="5"/>
        <v>24.368253389728423</v>
      </c>
      <c r="K17" s="134">
        <f t="shared" si="5"/>
        <v>13501.487861682413</v>
      </c>
      <c r="L17" s="134">
        <f t="shared" si="5"/>
        <v>1450.2273708249409</v>
      </c>
      <c r="M17" s="134">
        <f t="shared" si="5"/>
        <v>394.18907505917639</v>
      </c>
      <c r="N17" s="134">
        <f t="shared" si="5"/>
        <v>4685.2119419822739</v>
      </c>
      <c r="O17" s="134">
        <f t="shared" si="5"/>
        <v>5078087.0191637026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Actividad'!$R14*'FE Sectorial'!$H17*'FE Sectorial'!I17*'FE Sectorial'!P17/1000</f>
        <v>1416692.391175512</v>
      </c>
      <c r="I18" s="17">
        <f>'Datos Actividad'!$R14*'FE Sectorial'!$H17*'FE Sectorial'!J17/1000/1000</f>
        <v>25.379883216000003</v>
      </c>
      <c r="J18" s="17">
        <f>'Datos Actividad'!$R14*'FE Sectorial'!$H17*'FE Sectorial'!K17/1000/1000</f>
        <v>2.5379883216000003</v>
      </c>
      <c r="K18" s="17">
        <f>'Datos Actividad'!$R14*'FE Sectorial'!$H17*'FE Sectorial'!L17/1000/1000</f>
        <v>3806.9824824000002</v>
      </c>
      <c r="L18" s="17">
        <f>'Datos Actividad'!$R14*'FE Sectorial'!$H17*'FE Sectorial'!M17/1000/1000</f>
        <v>507.59766432000004</v>
      </c>
      <c r="M18" s="17">
        <f>'Datos Actividad'!$R14*'FE Sectorial'!$H17*'FE Sectorial'!N17/1000/1000</f>
        <v>126.89941608000001</v>
      </c>
      <c r="N18" s="17">
        <f>'Datos Actividad'!$R14*'FE Sectorial'!$H17*'FE Sectorial'!O17/1000/1000</f>
        <v>0</v>
      </c>
      <c r="O18" s="87">
        <f>IF(D18&lt;400,H18+I18*'Factores generales'!$M$41+J18*'Factores generales'!$N$41,I18*'Factores generales'!$M$41+J18*'Factores generales'!$N$41)</f>
        <v>1418012.145102744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Actividad'!$R15*'FE Sectorial'!$H18*'FE Sectorial'!I18*'FE Sectorial'!P18/1000</f>
        <v>6346.7134816438347</v>
      </c>
      <c r="I19" s="17">
        <f>'Datos Actividad'!$R15*'FE Sectorial'!$H18*'FE Sectorial'!J18/1000/1000</f>
        <v>0.10159780821917808</v>
      </c>
      <c r="J19" s="17">
        <f>'Datos Actividad'!$R15*'FE Sectorial'!$H18*'FE Sectorial'!K18/1000/1000</f>
        <v>1.0159780821917808E-2</v>
      </c>
      <c r="K19" s="17">
        <f>'Datos Actividad'!$R15*'FE Sectorial'!$H18*'FE Sectorial'!L18/1000/1000</f>
        <v>15.239671232876709</v>
      </c>
      <c r="L19" s="17">
        <f>'Datos Actividad'!$R15*'FE Sectorial'!$H18*'FE Sectorial'!M18/1000/1000</f>
        <v>2.0319561643835615</v>
      </c>
      <c r="M19" s="17">
        <f>'Datos Actividad'!$R15*'FE Sectorial'!$H18*'FE Sectorial'!N18/1000/1000</f>
        <v>0.50798904109589038</v>
      </c>
      <c r="N19" s="17">
        <f>'Datos Actividad'!$R15*'FE Sectorial'!$H18*'FE Sectorial'!O18/1000/1000</f>
        <v>0.42958904109589047</v>
      </c>
      <c r="O19" s="87">
        <f>IF(D19&lt;400,H19+I19*'Factores generales'!$M$41+J19*'Factores generales'!$N$41,I19*'Factores generales'!$M$41+J19*'Factores generales'!$N$41)</f>
        <v>6351.9965676712318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Actividad'!$R16*'FE Sectorial'!$H19*'FE Sectorial'!I19*'FE Sectorial'!P19/1000</f>
        <v>1450779.118272</v>
      </c>
      <c r="I20" s="17">
        <f>'Datos Actividad'!$R16*'FE Sectorial'!$H19*'FE Sectorial'!J19/1000/1000</f>
        <v>25.313706</v>
      </c>
      <c r="J20" s="17">
        <f>'Datos Actividad'!$R16*'FE Sectorial'!$H19*'FE Sectorial'!K19/1000/1000</f>
        <v>2.5313706000000002</v>
      </c>
      <c r="K20" s="17">
        <f>'Datos Actividad'!$R16*'FE Sectorial'!$H19*'FE Sectorial'!L19/1000/1000</f>
        <v>3797.0558999999998</v>
      </c>
      <c r="L20" s="17">
        <f>'Datos Actividad'!$R16*'FE Sectorial'!$H19*'FE Sectorial'!M19/1000/1000</f>
        <v>506.27411999999998</v>
      </c>
      <c r="M20" s="17">
        <f>'Datos Actividad'!$R16*'FE Sectorial'!$H19*'FE Sectorial'!N19/1000/1000</f>
        <v>126.56853</v>
      </c>
      <c r="N20" s="17">
        <f>'Datos Actividad'!$R16*'FE Sectorial'!$H19*'FE Sectorial'!O19/1000/1000</f>
        <v>0</v>
      </c>
      <c r="O20" s="87">
        <f>IF(D20&lt;400,H20+I20*'Factores generales'!$M$41+J20*'Factores generales'!$N$41,I20*'Factores generales'!$M$41+J20*'Factores generales'!$N$41)</f>
        <v>1452095.430984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Actividad'!$R17*'FE Sectorial'!$H20*'FE Sectorial'!I20*'FE Sectorial'!P20/1000</f>
        <v>0</v>
      </c>
      <c r="I21" s="17">
        <f>'Datos Actividad'!$R17*'FE Sectorial'!$H20*'FE Sectorial'!J20/1000/1000</f>
        <v>0</v>
      </c>
      <c r="J21" s="17">
        <f>'Datos Actividad'!$R17*'FE Sectorial'!$H20*'FE Sectorial'!K20/1000/1000</f>
        <v>0</v>
      </c>
      <c r="K21" s="17">
        <f>'Datos Actividad'!$R17*'FE Sectorial'!$H20*'FE Sectorial'!L20/1000/1000</f>
        <v>0</v>
      </c>
      <c r="L21" s="17">
        <f>'Datos Actividad'!$R17*'FE Sectorial'!$H20*'FE Sectorial'!M20/1000/1000</f>
        <v>0</v>
      </c>
      <c r="M21" s="17">
        <f>'Datos Actividad'!$R17*'FE Sectorial'!$H20*'FE Sectorial'!N20/1000/1000</f>
        <v>0</v>
      </c>
      <c r="N21" s="17">
        <f>'Datos Actividad'!$R17*'FE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Actividad'!$R18*'FE Sectorial'!$H21*'FE Sectorial'!I21*'FE Sectorial'!P21/1000</f>
        <v>0</v>
      </c>
      <c r="I22" s="17">
        <f>'Datos Actividad'!$R18*'FE Sectorial'!$H21*'FE Sectorial'!J21/1000/1000</f>
        <v>0</v>
      </c>
      <c r="J22" s="17">
        <f>'Datos Actividad'!$R18*'FE Sectorial'!$H21*'FE Sectorial'!K21/1000/1000</f>
        <v>0</v>
      </c>
      <c r="K22" s="17">
        <f>'Datos Actividad'!$R18*'FE Sectorial'!$H21*'FE Sectorial'!L21/1000/1000</f>
        <v>0</v>
      </c>
      <c r="L22" s="17">
        <f>'Datos Actividad'!$R18*'FE Sectorial'!$H21*'FE Sectorial'!M21/1000/1000</f>
        <v>0</v>
      </c>
      <c r="M22" s="17">
        <f>'Datos Actividad'!$R18*'FE Sectorial'!$H21*'FE Sectorial'!N21/1000/1000</f>
        <v>0</v>
      </c>
      <c r="N22" s="17">
        <f>'Datos Actividad'!$R18*'FE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Actividad'!$R19*'FE Sectorial'!$H22*'FE Sectorial'!I22*'FE Sectorial'!P22/1000</f>
        <v>147980.20632352939</v>
      </c>
      <c r="I23" s="17">
        <f>'Datos Actividad'!$R19*'FE Sectorial'!$H22*'FE Sectorial'!J22/1000/1000</f>
        <v>6.0516176470588237</v>
      </c>
      <c r="J23" s="17">
        <f>'Datos Actividad'!$R19*'FE Sectorial'!$H22*'FE Sectorial'!K22/1000/1000</f>
        <v>1.2103235294117647</v>
      </c>
      <c r="K23" s="17">
        <f>'Datos Actividad'!$R19*'FE Sectorial'!$H22*'FE Sectorial'!L22/1000/1000</f>
        <v>403.44117647058818</v>
      </c>
      <c r="L23" s="17">
        <f>'Datos Actividad'!$R19*'FE Sectorial'!$H22*'FE Sectorial'!M22/1000/1000</f>
        <v>30.258088235294114</v>
      </c>
      <c r="M23" s="17">
        <f>'Datos Actividad'!$R19*'FE Sectorial'!$H22*'FE Sectorial'!N22/1000/1000</f>
        <v>10.086029411764706</v>
      </c>
      <c r="N23" s="17">
        <f>'Datos Actividad'!$R19*'FE Sectorial'!$H22*'FE Sectorial'!O22/1000/1000</f>
        <v>73.182352941176461</v>
      </c>
      <c r="O23" s="87">
        <f>IF(D23&lt;400,H23+I23*'Factores generales'!$M$41+J23*'Factores generales'!$N$41,I23*'Factores generales'!$M$41+J23*'Factores generales'!$N$41)</f>
        <v>148482.49058823526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Actividad'!$R20*'FE Sectorial'!$H23*'FE Sectorial'!I23*'FE Sectorial'!P23/1000</f>
        <v>1784510.7310800003</v>
      </c>
      <c r="I24" s="17">
        <f>'Datos Actividad'!$R20*'FE Sectorial'!$H23*'FE Sectorial'!J23/1000/1000</f>
        <v>69.865740000000017</v>
      </c>
      <c r="J24" s="17">
        <f>'Datos Actividad'!$R20*'FE Sectorial'!$H23*'FE Sectorial'!K23/1000/1000</f>
        <v>13.973148000000002</v>
      </c>
      <c r="K24" s="17">
        <f>'Datos Actividad'!$R20*'FE Sectorial'!$H23*'FE Sectorial'!L23/1000/1000</f>
        <v>4657.7160000000013</v>
      </c>
      <c r="L24" s="17">
        <f>'Datos Actividad'!$R20*'FE Sectorial'!$H23*'FE Sectorial'!M23/1000/1000</f>
        <v>349.32870000000008</v>
      </c>
      <c r="M24" s="17">
        <f>'Datos Actividad'!$R20*'FE Sectorial'!$H23*'FE Sectorial'!N23/1000/1000</f>
        <v>116.44290000000001</v>
      </c>
      <c r="N24" s="17">
        <f>'Datos Actividad'!$R20*'FE Sectorial'!$H23*'FE Sectorial'!O23/1000/1000</f>
        <v>4611.6000000000013</v>
      </c>
      <c r="O24" s="87">
        <f>IF(D24&lt;400,H24+I24*'Factores generales'!$M$41+J24*'Factores generales'!$N$41,I24*'Factores generales'!$M$41+J24*'Factores generales'!$N$41)</f>
        <v>1790309.5875000004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Actividad'!$R21*'FE Sectorial'!$H24*'FE Sectorial'!I24*'FE Sectorial'!P24/1000</f>
        <v>261505.26315789475</v>
      </c>
      <c r="I25" s="17">
        <f>'Datos Actividad'!$R21*'FE Sectorial'!$H24*'FE Sectorial'!J24/1000/1000</f>
        <v>2.7368421052631584</v>
      </c>
      <c r="J25" s="17">
        <f>'Datos Actividad'!$R21*'FE Sectorial'!$H24*'FE Sectorial'!K24/1000/1000</f>
        <v>4.1052631578947381</v>
      </c>
      <c r="K25" s="17">
        <f>'Datos Actividad'!$R21*'FE Sectorial'!$H24*'FE Sectorial'!L24/1000/1000</f>
        <v>821.0526315789474</v>
      </c>
      <c r="L25" s="17">
        <f>'Datos Actividad'!$R21*'FE Sectorial'!$H24*'FE Sectorial'!M24/1000/1000</f>
        <v>54.736842105263165</v>
      </c>
      <c r="M25" s="17">
        <f>'Datos Actividad'!$R21*'FE Sectorial'!$H24*'FE Sectorial'!N24/1000/1000</f>
        <v>13.684210526315791</v>
      </c>
      <c r="N25" s="17">
        <f>'Datos Actividad'!$R21*'FE Sectorial'!$H24*'FE Sectorial'!O24/1000/1000</f>
        <v>0</v>
      </c>
      <c r="O25" s="87">
        <f>IF(D25&lt;400,H25+I25*'Factores generales'!$M$41+J25*'Factores generales'!$N$41,I25*'Factores generales'!$M$41+J25*'Factores generales'!$N$41)</f>
        <v>262835.36842105264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6662273.9649576005</v>
      </c>
      <c r="I26" s="134">
        <f t="shared" ref="I26:O26" si="6">I27+I28</f>
        <v>118.178112</v>
      </c>
      <c r="J26" s="134">
        <f t="shared" si="6"/>
        <v>14.417181840000001</v>
      </c>
      <c r="K26" s="134">
        <f t="shared" si="6"/>
        <v>17997.310640000003</v>
      </c>
      <c r="L26" s="134">
        <f t="shared" si="6"/>
        <v>2362.30062</v>
      </c>
      <c r="M26" s="134">
        <f t="shared" si="6"/>
        <v>590.61019999999996</v>
      </c>
      <c r="N26" s="134">
        <f t="shared" si="6"/>
        <v>1772.7975200000001</v>
      </c>
      <c r="O26" s="134">
        <f t="shared" si="6"/>
        <v>6669225.03168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6662273.9649576005</v>
      </c>
      <c r="I28" s="15">
        <f t="shared" si="7"/>
        <v>118.178112</v>
      </c>
      <c r="J28" s="15">
        <f t="shared" si="7"/>
        <v>14.417181840000001</v>
      </c>
      <c r="K28" s="15">
        <f t="shared" si="7"/>
        <v>17997.310640000003</v>
      </c>
      <c r="L28" s="15">
        <f t="shared" si="7"/>
        <v>2362.30062</v>
      </c>
      <c r="M28" s="15">
        <f t="shared" si="7"/>
        <v>590.61019999999996</v>
      </c>
      <c r="N28" s="15">
        <f t="shared" si="7"/>
        <v>1772.7975200000001</v>
      </c>
      <c r="O28" s="15">
        <f t="shared" si="7"/>
        <v>6669225.03168</v>
      </c>
    </row>
    <row r="29" spans="1:15" outlineLevel="1" x14ac:dyDescent="0.25">
      <c r="B29" s="1" t="s">
        <v>7</v>
      </c>
      <c r="G29" s="1"/>
      <c r="H29" s="95">
        <f t="shared" ref="H29:O29" si="8">H30+H31</f>
        <v>171589.1327898</v>
      </c>
      <c r="I29" s="95">
        <f t="shared" si="8"/>
        <v>1.8513306</v>
      </c>
      <c r="J29" s="95">
        <f t="shared" si="8"/>
        <v>2.7761573999999998</v>
      </c>
      <c r="K29" s="95">
        <f t="shared" si="8"/>
        <v>555.24868000000004</v>
      </c>
      <c r="L29" s="95">
        <f t="shared" si="8"/>
        <v>37.016936999999999</v>
      </c>
      <c r="M29" s="95">
        <f t="shared" si="8"/>
        <v>9.2545029999999997</v>
      </c>
      <c r="N29" s="95">
        <f t="shared" si="8"/>
        <v>1771.7882000000002</v>
      </c>
      <c r="O29" s="95">
        <f t="shared" si="8"/>
        <v>172488.6195264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Actividad'!$R26*'FE Sectorial'!$H29*'FE Sectorial'!I29*'FE Sectorial'!P29/1000</f>
        <v>171573.36060479999</v>
      </c>
      <c r="I30" s="17">
        <f>'Datos Actividad'!$R26*'FE Sectorial'!$H29*'FE Sectorial'!J29/1000/1000</f>
        <v>1.8506856</v>
      </c>
      <c r="J30" s="17">
        <f>'Datos Actividad'!$R26*'FE Sectorial'!$H29*'FE Sectorial'!K29/1000/1000</f>
        <v>2.7760284</v>
      </c>
      <c r="K30" s="17">
        <f>'Datos Actividad'!$R26*'FE Sectorial'!$H29*'FE Sectorial'!L29/1000/1000</f>
        <v>555.20568000000003</v>
      </c>
      <c r="L30" s="17">
        <f>'Datos Actividad'!$R26*'FE Sectorial'!$H29*'FE Sectorial'!M29/1000/1000</f>
        <v>37.013711999999998</v>
      </c>
      <c r="M30" s="17">
        <f>'Datos Actividad'!$R26*'FE Sectorial'!$H29*'FE Sectorial'!N29/1000/1000</f>
        <v>9.2534279999999995</v>
      </c>
      <c r="N30" s="17">
        <f>'Datos Actividad'!$R26*'FE Sectorial'!$H29*'FE Sectorial'!O29/1000/1000</f>
        <v>1771.7804000000001</v>
      </c>
      <c r="O30" s="87">
        <f>IF(D30&lt;400,H30+I30*'Factores generales'!$M$41+J30*'Factores generales'!$N$41,I30*'Factores generales'!$M$41+J30*'Factores generales'!$N$41)</f>
        <v>172472.7938064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Actividad'!$R27*'FE Sectorial'!$H30*'FE Sectorial'!I30*'FE Sectorial'!P30/1000</f>
        <v>15.772184999999997</v>
      </c>
      <c r="I31" s="17">
        <f>'Datos Actividad'!$R27*'FE Sectorial'!$H30*'FE Sectorial'!J30/1000/1000</f>
        <v>6.4500000000000007E-4</v>
      </c>
      <c r="J31" s="17">
        <f>'Datos Actividad'!$R27*'FE Sectorial'!$H30*'FE Sectorial'!K30/1000/1000</f>
        <v>1.2899999999999999E-4</v>
      </c>
      <c r="K31" s="17">
        <f>'Datos Actividad'!$R27*'FE Sectorial'!$H30*'FE Sectorial'!L30/1000/1000</f>
        <v>4.2999999999999997E-2</v>
      </c>
      <c r="L31" s="17">
        <f>'Datos Actividad'!$R27*'FE Sectorial'!$H30*'FE Sectorial'!M30/1000/1000</f>
        <v>3.225E-3</v>
      </c>
      <c r="M31" s="17">
        <f>'Datos Actividad'!$R27*'FE Sectorial'!$H30*'FE Sectorial'!N30/1000/1000</f>
        <v>1.075E-3</v>
      </c>
      <c r="N31" s="17">
        <f>'Datos Actividad'!$R27*'FE Sectorial'!$H30*'FE Sectorial'!O30/1000/1000</f>
        <v>7.7999999999999996E-3</v>
      </c>
      <c r="O31" s="87">
        <f>IF(D31&lt;400,H31+I31*'Factores generales'!$M$41+J31*'Factores generales'!$N$41,I31*'Factores generales'!$M$41+J31*'Factores generales'!$N$41)</f>
        <v>15.825719999999997</v>
      </c>
    </row>
    <row r="32" spans="1:15" outlineLevel="1" x14ac:dyDescent="0.25">
      <c r="B32" s="1" t="s">
        <v>6</v>
      </c>
      <c r="G32" s="1"/>
      <c r="H32" s="17">
        <f>H33+H34+H35</f>
        <v>6490684.8321678005</v>
      </c>
      <c r="I32" s="17">
        <f t="shared" ref="I32:O32" si="9">I33+I34+I35</f>
        <v>116.3267814</v>
      </c>
      <c r="J32" s="17">
        <f t="shared" si="9"/>
        <v>11.641024440000002</v>
      </c>
      <c r="K32" s="17">
        <f t="shared" si="9"/>
        <v>17442.061960000003</v>
      </c>
      <c r="L32" s="17">
        <f t="shared" si="9"/>
        <v>2325.2836830000001</v>
      </c>
      <c r="M32" s="17">
        <f t="shared" si="9"/>
        <v>581.35569699999996</v>
      </c>
      <c r="N32" s="17">
        <f t="shared" si="9"/>
        <v>1.00932</v>
      </c>
      <c r="O32" s="17">
        <f t="shared" si="9"/>
        <v>6496736.4121535998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Actividad'!$R29*'FE Sectorial'!$H32*'FE Sectorial'!I32*'FE Sectorial'!P32/1000</f>
        <v>6488643.9114288008</v>
      </c>
      <c r="I33" s="17">
        <f>'Datos Actividad'!$R29*'FE Sectorial'!$H32*'FE Sectorial'!J32/1000/1000</f>
        <v>116.24331840000001</v>
      </c>
      <c r="J33" s="17">
        <f>'Datos Actividad'!$R29*'FE Sectorial'!$H32*'FE Sectorial'!K32/1000/1000</f>
        <v>11.624331840000002</v>
      </c>
      <c r="K33" s="17">
        <f>'Datos Actividad'!$R29*'FE Sectorial'!$H32*'FE Sectorial'!L32/1000/1000</f>
        <v>17436.497760000002</v>
      </c>
      <c r="L33" s="17">
        <f>'Datos Actividad'!$R29*'FE Sectorial'!$H32*'FE Sectorial'!M32/1000/1000</f>
        <v>2324.866368</v>
      </c>
      <c r="M33" s="17">
        <f>'Datos Actividad'!$R29*'FE Sectorial'!$H32*'FE Sectorial'!N32/1000/1000</f>
        <v>581.21659199999999</v>
      </c>
      <c r="N33" s="17">
        <f>'Datos Actividad'!$R29*'FE Sectorial'!$H32*'FE Sectorial'!O32/1000/1000</f>
        <v>0</v>
      </c>
      <c r="O33" s="87">
        <f>IF(D33&lt;400,H33+I33*'Factores generales'!$M$41+J33*'Factores generales'!$N$41,I33*'Factores generales'!$M$41+J33*'Factores generales'!$N$41)</f>
        <v>6494688.5639856001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Actividad'!$R30*'FE Sectorial'!$H33*'FE Sectorial'!I33*'FE Sectorial'!P33/1000</f>
        <v>2040.9207389999999</v>
      </c>
      <c r="I34" s="17">
        <f>'Datos Actividad'!$R30*'FE Sectorial'!$H33*'FE Sectorial'!J33/1000/1000</f>
        <v>8.3462999999999996E-2</v>
      </c>
      <c r="J34" s="17">
        <f>'Datos Actividad'!$R30*'FE Sectorial'!$H33*'FE Sectorial'!K33/1000/1000</f>
        <v>1.6692599999999998E-2</v>
      </c>
      <c r="K34" s="17">
        <f>'Datos Actividad'!$R30*'FE Sectorial'!$H33*'FE Sectorial'!L33/1000/1000</f>
        <v>5.5641999999999996</v>
      </c>
      <c r="L34" s="17">
        <f>'Datos Actividad'!$R30*'FE Sectorial'!$H33*'FE Sectorial'!M33/1000/1000</f>
        <v>0.41731499999999999</v>
      </c>
      <c r="M34" s="17">
        <f>'Datos Actividad'!$R30*'FE Sectorial'!$H33*'FE Sectorial'!N33/1000/1000</f>
        <v>0.13910499999999998</v>
      </c>
      <c r="N34" s="17">
        <f>'Datos Actividad'!$R30*'FE Sectorial'!$H33*'FE Sectorial'!O33/1000/1000</f>
        <v>1.00932</v>
      </c>
      <c r="O34" s="87">
        <f>IF(D34&lt;400,H34+I34*'Factores generales'!$M$41+J34*'Factores generales'!$N$41,I34*'Factores generales'!$M$41+J34*'Factores generales'!$N$41)</f>
        <v>2047.848168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Actividad'!$R31*'FE Sectorial'!$H34*'FE Sectorial'!I34*'FE Sectorial'!P34/1000</f>
        <v>0</v>
      </c>
      <c r="I35" s="17">
        <f>'Datos Actividad'!$R31*'FE Sectorial'!$H34*'FE Sectorial'!J34/1000/1000</f>
        <v>0</v>
      </c>
      <c r="J35" s="17">
        <f>'Datos Actividad'!$R31*'FE Sectorial'!$H34*'FE Sectorial'!K34/1000/1000</f>
        <v>0</v>
      </c>
      <c r="K35" s="17">
        <f>'Datos Actividad'!$R31*'FE Sectorial'!$H34*'FE Sectorial'!L34/1000/1000</f>
        <v>0</v>
      </c>
      <c r="L35" s="17">
        <f>'Datos Actividad'!$R31*'FE Sectorial'!$H34*'FE Sectorial'!M34/1000/1000</f>
        <v>0</v>
      </c>
      <c r="M35" s="17">
        <f>'Datos Actividad'!$R31*'FE Sectorial'!$H34*'FE Sectorial'!N34/1000/1000</f>
        <v>0</v>
      </c>
      <c r="N35" s="17">
        <f>'Datos Actividad'!$R31*'FE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19373383.567864291</v>
      </c>
      <c r="I36" s="129">
        <f t="shared" si="10"/>
        <v>3116.065351633697</v>
      </c>
      <c r="J36" s="129">
        <f t="shared" si="10"/>
        <v>433.78516911733919</v>
      </c>
      <c r="K36" s="129">
        <f t="shared" si="10"/>
        <v>57673.623411152963</v>
      </c>
      <c r="L36" s="129">
        <f t="shared" si="10"/>
        <v>371525.6454447502</v>
      </c>
      <c r="M36" s="129">
        <f t="shared" si="10"/>
        <v>6399.8059947519741</v>
      </c>
      <c r="N36" s="129">
        <f t="shared" si="10"/>
        <v>5117.26685386593</v>
      </c>
      <c r="O36" s="129">
        <f t="shared" si="10"/>
        <v>19713036.217674978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5803444.2516274108</v>
      </c>
      <c r="I37" s="134">
        <f t="shared" ref="I37:O37" si="11">SUM(I38:I44)</f>
        <v>64.692001948784977</v>
      </c>
      <c r="J37" s="134">
        <f t="shared" si="11"/>
        <v>22.938721454995459</v>
      </c>
      <c r="K37" s="134">
        <f t="shared" si="11"/>
        <v>11386.889361615993</v>
      </c>
      <c r="L37" s="134">
        <f t="shared" si="11"/>
        <v>3321.8956659021455</v>
      </c>
      <c r="M37" s="134">
        <f t="shared" si="11"/>
        <v>496.10196067374932</v>
      </c>
      <c r="N37" s="134">
        <f t="shared" si="11"/>
        <v>56.311680000000003</v>
      </c>
      <c r="O37" s="134">
        <f t="shared" si="11"/>
        <v>5811913.7873193845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Actividad'!$R34*'FE Sectorial'!$H37*'FE Sectorial'!I37*'FE Sectorial'!P37/1000</f>
        <v>2134768.0850337599</v>
      </c>
      <c r="I38" s="17">
        <f>'Datos Actividad'!$R34*'FE Sectorial'!$H37*'FE Sectorial'!J37/1000/1000</f>
        <v>38.244127679999998</v>
      </c>
      <c r="J38" s="17">
        <f>'Datos Actividad'!$R34*'FE Sectorial'!$H37*'FE Sectorial'!K37/1000/1000</f>
        <v>3.8244127680000002</v>
      </c>
      <c r="K38" s="17">
        <f>'Datos Actividad'!$R34*'FE Sectorial'!$H37*'FE Sectorial'!L37/1000/1000</f>
        <v>5736.6191520000002</v>
      </c>
      <c r="L38" s="17">
        <f>'Datos Actividad'!$R34*'FE Sectorial'!$H37*'FE Sectorial'!M37/1000/1000</f>
        <v>1147.3238304000001</v>
      </c>
      <c r="M38" s="17">
        <f>'Datos Actividad'!$R34*'FE Sectorial'!$H37*'FE Sectorial'!N37/1000/1000</f>
        <v>191.22063839999998</v>
      </c>
      <c r="N38" s="17">
        <f>'Datos Actividad'!$R34*'FE Sectorial'!$H37*'FE Sectorial'!O37/1000/1000</f>
        <v>0</v>
      </c>
      <c r="O38" s="87">
        <f>IF(D38&lt;400,H38+I38*'Factores generales'!$M$41+J38*'Factores generales'!$N$41,I38*'Factores generales'!$M$41+J38*'Factores generales'!$N$41)</f>
        <v>2136756.77967312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Actividad'!$R35*'FE Sectorial'!$H38*'FE Sectorial'!I38*'FE Sectorial'!P38/1000</f>
        <v>2309698.0861955914</v>
      </c>
      <c r="I39" s="17">
        <f>'Datos Actividad'!$R35*'FE Sectorial'!$H38*'FE Sectorial'!J38/1000/1000</f>
        <v>8.9280946509300012</v>
      </c>
      <c r="J39" s="17">
        <f>'Datos Actividad'!$R35*'FE Sectorial'!$H38*'FE Sectorial'!K38/1000/1000</f>
        <v>0.89280946509300008</v>
      </c>
      <c r="K39" s="17">
        <f>'Datos Actividad'!$R35*'FE Sectorial'!$H38*'FE Sectorial'!L38/1000/1000</f>
        <v>1339.2141976395003</v>
      </c>
      <c r="L39" s="17">
        <f>'Datos Actividad'!$R35*'FE Sectorial'!$H38*'FE Sectorial'!M38/1000/1000</f>
        <v>267.84283952789997</v>
      </c>
      <c r="M39" s="17">
        <f>'Datos Actividad'!$R35*'FE Sectorial'!$H38*'FE Sectorial'!N38/1000/1000</f>
        <v>44.640473254650004</v>
      </c>
      <c r="N39" s="17">
        <f>'Datos Actividad'!$R35*'FE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2310162.3471174398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Actividad'!$R36*'FE Sectorial'!$H39*'FE Sectorial'!I39*'FE Sectorial'!P39/1000</f>
        <v>218730.91905347764</v>
      </c>
      <c r="I40" s="17">
        <f>'Datos Actividad'!$R36*'FE Sectorial'!$H39*'FE Sectorial'!J39/1000/1000</f>
        <v>4.9511276892000007</v>
      </c>
      <c r="J40" s="17">
        <f>'Datos Actividad'!$R36*'FE Sectorial'!$H39*'FE Sectorial'!K39/1000/1000</f>
        <v>0.49511276892000011</v>
      </c>
      <c r="K40" s="17">
        <f>'Datos Actividad'!$R36*'FE Sectorial'!$H39*'FE Sectorial'!L39/1000/1000</f>
        <v>742.66915338000013</v>
      </c>
      <c r="L40" s="17">
        <f>'Datos Actividad'!$R36*'FE Sectorial'!$H39*'FE Sectorial'!M39/1000/1000</f>
        <v>148.53383067600004</v>
      </c>
      <c r="M40" s="17">
        <f>'Datos Actividad'!$R36*'FE Sectorial'!$H39*'FE Sectorial'!N39/1000/1000</f>
        <v>24.755638446000003</v>
      </c>
      <c r="N40" s="17">
        <f>'Datos Actividad'!$R36*'FE Sectorial'!$H39*'FE Sectorial'!O39/1000/1000</f>
        <v>0</v>
      </c>
      <c r="O40" s="87">
        <f>IF(D40&lt;400,H40+I40*'Factores generales'!$M$41+J40*'Factores generales'!$N$41,I40*'Factores generales'!$M$41+J40*'Factores generales'!$N$41)</f>
        <v>218988.37769331606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Actividad'!$R37*'FE Sectorial'!$H40*'FE Sectorial'!I40*'FE Sectorial'!P40/1000</f>
        <v>403.76793599999996</v>
      </c>
      <c r="I41" s="17">
        <f>'Datos Actividad'!$R37*'FE Sectorial'!$H40*'FE Sectorial'!J40/1000/1000</f>
        <v>1.6511999999999999E-2</v>
      </c>
      <c r="J41" s="17">
        <f>'Datos Actividad'!$R37*'FE Sectorial'!$H40*'FE Sectorial'!K40/1000/1000</f>
        <v>3.3024E-3</v>
      </c>
      <c r="K41" s="17">
        <f>'Datos Actividad'!$R37*'FE Sectorial'!$H40*'FE Sectorial'!L40/1000/1000</f>
        <v>1.1008</v>
      </c>
      <c r="L41" s="17">
        <f>'Datos Actividad'!$R37*'FE Sectorial'!$H40*'FE Sectorial'!M40/1000/1000</f>
        <v>5.5039999999999999E-2</v>
      </c>
      <c r="M41" s="17">
        <f>'Datos Actividad'!$R37*'FE Sectorial'!$H40*'FE Sectorial'!N40/1000/1000</f>
        <v>2.7519999999999999E-2</v>
      </c>
      <c r="N41" s="17">
        <f>'Datos Actividad'!$R37*'FE Sectorial'!$H40*'FE Sectorial'!O40/1000/1000</f>
        <v>0.19968</v>
      </c>
      <c r="O41" s="87">
        <f>IF(D41&lt;400,H41+I41*'Factores generales'!$M$41+J41*'Factores generales'!$N$41,I41*'Factores generales'!$M$41+J41*'Factores generales'!$N$41)</f>
        <v>405.13843199999997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Actividad'!$R38*'FE Sectorial'!$H41*'FE Sectorial'!I41*'FE Sectorial'!P41/1000</f>
        <v>21713.172465600004</v>
      </c>
      <c r="I42" s="17">
        <f>'Datos Actividad'!$R38*'FE Sectorial'!$H41*'FE Sectorial'!J41/1000/1000</f>
        <v>0.85009679999999987</v>
      </c>
      <c r="J42" s="17">
        <f>'Datos Actividad'!$R38*'FE Sectorial'!$H41*'FE Sectorial'!K41/1000/1000</f>
        <v>0.17001935999999998</v>
      </c>
      <c r="K42" s="17">
        <f>'Datos Actividad'!$R38*'FE Sectorial'!$H41*'FE Sectorial'!L41/1000/1000</f>
        <v>56.673119999999997</v>
      </c>
      <c r="L42" s="17">
        <f>'Datos Actividad'!$R38*'FE Sectorial'!$H41*'FE Sectorial'!M41/1000/1000</f>
        <v>2.833656</v>
      </c>
      <c r="M42" s="17">
        <f>'Datos Actividad'!$R38*'FE Sectorial'!$H41*'FE Sectorial'!N41/1000/1000</f>
        <v>1.416828</v>
      </c>
      <c r="N42" s="17">
        <f>'Datos Actividad'!$R38*'FE Sectorial'!$H41*'FE Sectorial'!O41/1000/1000</f>
        <v>56.112000000000002</v>
      </c>
      <c r="O42" s="87">
        <f>IF(D42&lt;400,H42+I42*'Factores generales'!$M$41+J42*'Factores generales'!$N$41,I42*'Factores generales'!$M$41+J42*'Factores generales'!$N$41)</f>
        <v>21783.730500000005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Actividad'!$R39*'FE Sectorial'!$H42*'FE Sectorial'!I42*'FE Sectorial'!P42/1000</f>
        <v>904031.86677631573</v>
      </c>
      <c r="I43" s="17">
        <f>'Datos Actividad'!$R39*'FE Sectorial'!$H42*'FE Sectorial'!J42/1000/1000</f>
        <v>9.4613486842105274</v>
      </c>
      <c r="J43" s="17">
        <f>'Datos Actividad'!$R39*'FE Sectorial'!$H42*'FE Sectorial'!K42/1000/1000</f>
        <v>14.192023026315791</v>
      </c>
      <c r="K43" s="17">
        <f>'Datos Actividad'!$R39*'FE Sectorial'!$H42*'FE Sectorial'!L42/1000/1000</f>
        <v>2838.4046052631579</v>
      </c>
      <c r="L43" s="17">
        <f>'Datos Actividad'!$R39*'FE Sectorial'!$H42*'FE Sectorial'!M42/1000/1000</f>
        <v>1419.202302631579</v>
      </c>
      <c r="M43" s="17">
        <f>'Datos Actividad'!$R39*'FE Sectorial'!$H42*'FE Sectorial'!N42/1000/1000</f>
        <v>189.22697368421049</v>
      </c>
      <c r="N43" s="17">
        <f>'Datos Actividad'!$R39*'FE Sectorial'!$H42*'FE Sectorial'!O42/1000/1000</f>
        <v>0</v>
      </c>
      <c r="O43" s="87">
        <f>IF(D43&lt;400,H43+I43*'Factores generales'!$M$41+J43*'Factores generales'!$N$41,I43*'Factores generales'!$M$41+J43*'Factores generales'!$N$41)</f>
        <v>908630.08223684202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Actividad'!$R40*'FE Sectorial'!$H43*'FE Sectorial'!I43*'FE Sectorial'!P43/1000</f>
        <v>214098.35416666663</v>
      </c>
      <c r="I44" s="17">
        <f>'Datos Actividad'!$R40*'FE Sectorial'!$H43*'FE Sectorial'!J43/1000/1000</f>
        <v>2.2406944444444439</v>
      </c>
      <c r="J44" s="17">
        <f>'Datos Actividad'!$R40*'FE Sectorial'!$H43*'FE Sectorial'!K43/1000/1000</f>
        <v>3.3610416666666665</v>
      </c>
      <c r="K44" s="17">
        <f>'Datos Actividad'!$R40*'FE Sectorial'!$H43*'FE Sectorial'!L43/1000/1000</f>
        <v>672.20833333333326</v>
      </c>
      <c r="L44" s="17">
        <f>'Datos Actividad'!$R40*'FE Sectorial'!$H43*'FE Sectorial'!M43/1000/1000</f>
        <v>336.10416666666663</v>
      </c>
      <c r="M44" s="17">
        <f>'Datos Actividad'!$R40*'FE Sectorial'!$H43*'FE Sectorial'!N43/1000/1000</f>
        <v>44.813888888888883</v>
      </c>
      <c r="N44" s="17">
        <f>'Datos Actividad'!$R40*'FE Sectorial'!$H43*'FE Sectorial'!O43/1000/1000</f>
        <v>0</v>
      </c>
      <c r="O44" s="87">
        <f>IF(D44&lt;400,H44+I44*'Factores generales'!$M$41+J44*'Factores generales'!$N$41,I44*'Factores generales'!$M$41+J44*'Factores generales'!$N$41)</f>
        <v>215187.33166666664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1242208.7070148801</v>
      </c>
      <c r="I45" s="134">
        <f t="shared" ref="I45:O45" si="12">I46</f>
        <v>22.254027839999999</v>
      </c>
      <c r="J45" s="134">
        <f t="shared" si="12"/>
        <v>2.2254027839999999</v>
      </c>
      <c r="K45" s="134">
        <f t="shared" si="12"/>
        <v>3338.1041759999998</v>
      </c>
      <c r="L45" s="134">
        <f t="shared" si="12"/>
        <v>667.6208352000001</v>
      </c>
      <c r="M45" s="134">
        <f t="shared" si="12"/>
        <v>111.2701392</v>
      </c>
      <c r="N45" s="134">
        <f t="shared" si="12"/>
        <v>0</v>
      </c>
      <c r="O45" s="134">
        <f t="shared" si="12"/>
        <v>1243365.9164625602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Actividad'!$R42*'FE Sectorial'!$H45*'FE Sectorial'!I45*'FE Sectorial'!P45/1000</f>
        <v>1242208.7070148801</v>
      </c>
      <c r="I46" s="17">
        <f>'Datos Actividad'!$R42*'FE Sectorial'!$H45*'FE Sectorial'!J45/1000/1000</f>
        <v>22.254027839999999</v>
      </c>
      <c r="J46" s="17">
        <f>'Datos Actividad'!$R42*'FE Sectorial'!$H45*'FE Sectorial'!K45/1000/1000</f>
        <v>2.2254027839999999</v>
      </c>
      <c r="K46" s="17">
        <f>'Datos Actividad'!$R42*'FE Sectorial'!$H45*'FE Sectorial'!L45/1000/1000</f>
        <v>3338.1041759999998</v>
      </c>
      <c r="L46" s="17">
        <f>'Datos Actividad'!$R42*'FE Sectorial'!$H45*'FE Sectorial'!M45/1000/1000</f>
        <v>667.6208352000001</v>
      </c>
      <c r="M46" s="17">
        <f>'Datos Actividad'!$R42*'FE Sectorial'!$H45*'FE Sectorial'!N45/1000/1000</f>
        <v>111.2701392</v>
      </c>
      <c r="N46" s="17">
        <f>'Datos Actividad'!$R42*'FE Sectorial'!$H45*'FE Sectorial'!O45/1000/1000</f>
        <v>0</v>
      </c>
      <c r="O46" s="87">
        <f>IF(D46&lt;400,H46+I46*'Factores generales'!$M$41+J46*'Factores generales'!$N$41,I46*'Factores generales'!$M$41+J46*'Factores generales'!$N$41)</f>
        <v>1243365.9164625602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1166941.4878357248</v>
      </c>
      <c r="I47" s="134">
        <f t="shared" ref="I47:O47" si="13">SUM(I48:I55)</f>
        <v>171.51248879453163</v>
      </c>
      <c r="J47" s="134">
        <f t="shared" si="13"/>
        <v>24.280603219650043</v>
      </c>
      <c r="K47" s="134">
        <f t="shared" si="13"/>
        <v>4062.0785083134429</v>
      </c>
      <c r="L47" s="134">
        <f t="shared" si="13"/>
        <v>20614.404820446289</v>
      </c>
      <c r="M47" s="134">
        <f t="shared" si="13"/>
        <v>380.21150595296945</v>
      </c>
      <c r="N47" s="134">
        <f t="shared" si="13"/>
        <v>65.8078</v>
      </c>
      <c r="O47" s="134">
        <f t="shared" si="13"/>
        <v>1317812.1120985018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Actividad'!$R44*'FE Sectorial'!$H47*'FE Sectorial'!I47*'FE Sectorial'!P47/1000</f>
        <v>1047443.2866616369</v>
      </c>
      <c r="I48" s="17">
        <f>'Datos Actividad'!$R44*'FE Sectorial'!$H47*'FE Sectorial'!J47/1000/1000</f>
        <v>18.764827464625032</v>
      </c>
      <c r="J48" s="17">
        <f>'Datos Actividad'!$R44*'FE Sectorial'!$H47*'FE Sectorial'!K47/1000/1000</f>
        <v>1.8764827464625031</v>
      </c>
      <c r="K48" s="17">
        <f>'Datos Actividad'!$R44*'FE Sectorial'!$H47*'FE Sectorial'!L47/1000/1000</f>
        <v>2814.7241196937548</v>
      </c>
      <c r="L48" s="17">
        <f>'Datos Actividad'!$R44*'FE Sectorial'!$H47*'FE Sectorial'!M47/1000/1000</f>
        <v>562.94482393875103</v>
      </c>
      <c r="M48" s="17">
        <f>'Datos Actividad'!$R44*'FE Sectorial'!$H47*'FE Sectorial'!N47/1000/1000</f>
        <v>93.824137323125143</v>
      </c>
      <c r="N48" s="17">
        <f>'Datos Actividad'!$R44*'FE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1048419.0576897974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Actividad'!$R45*'FE Sectorial'!$H48*'FE Sectorial'!I48*'FE Sectorial'!P48/1000</f>
        <v>85889.478204288025</v>
      </c>
      <c r="I49" s="17">
        <f>'Datos Actividad'!$R45*'FE Sectorial'!$H48*'FE Sectorial'!J48/1000/1000</f>
        <v>1.4986299240000001</v>
      </c>
      <c r="J49" s="17">
        <f>'Datos Actividad'!$R45*'FE Sectorial'!$H48*'FE Sectorial'!K48/1000/1000</f>
        <v>0.14986299240000003</v>
      </c>
      <c r="K49" s="17">
        <f>'Datos Actividad'!$R45*'FE Sectorial'!$H48*'FE Sectorial'!L48/1000/1000</f>
        <v>224.79448860000002</v>
      </c>
      <c r="L49" s="17">
        <f>'Datos Actividad'!$R45*'FE Sectorial'!$H48*'FE Sectorial'!M48/1000/1000</f>
        <v>44.95889772000001</v>
      </c>
      <c r="M49" s="17">
        <f>'Datos Actividad'!$R45*'FE Sectorial'!$H48*'FE Sectorial'!N48/1000/1000</f>
        <v>7.4931496200000014</v>
      </c>
      <c r="N49" s="17">
        <f>'Datos Actividad'!$R45*'FE Sectorial'!$H48*'FE Sectorial'!O48/1000/1000</f>
        <v>0</v>
      </c>
      <c r="O49" s="87">
        <f>IF(D49&lt;400,H49+I49*'Factores generales'!$M$41+J49*'Factores generales'!$N$41,I49*'Factores generales'!$M$41+J49*'Factores generales'!$N$41)</f>
        <v>85967.406960336026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Actividad'!$R46*'FE Sectorial'!$H49*'FE Sectorial'!I49*'FE Sectorial'!P49/1000</f>
        <v>10740.857984999999</v>
      </c>
      <c r="I50" s="17">
        <f>'Datos Actividad'!$R46*'FE Sectorial'!$H49*'FE Sectorial'!J49/1000/1000</f>
        <v>0.439245</v>
      </c>
      <c r="J50" s="17">
        <f>'Datos Actividad'!$R46*'FE Sectorial'!$H49*'FE Sectorial'!K49/1000/1000</f>
        <v>8.784900000000001E-2</v>
      </c>
      <c r="K50" s="17">
        <f>'Datos Actividad'!$R46*'FE Sectorial'!$H49*'FE Sectorial'!L49/1000/1000</f>
        <v>29.283000000000001</v>
      </c>
      <c r="L50" s="17">
        <f>'Datos Actividad'!$R46*'FE Sectorial'!$H49*'FE Sectorial'!M49/1000/1000</f>
        <v>1.4641500000000001</v>
      </c>
      <c r="M50" s="17">
        <f>'Datos Actividad'!$R46*'FE Sectorial'!$H49*'FE Sectorial'!N49/1000/1000</f>
        <v>0.73207500000000003</v>
      </c>
      <c r="N50" s="17">
        <f>'Datos Actividad'!$R46*'FE Sectorial'!$H49*'FE Sectorial'!O49/1000/1000</f>
        <v>5.3117999999999999</v>
      </c>
      <c r="O50" s="87">
        <f>IF(D50&lt;400,H50+I50*'Factores generales'!$M$41+J50*'Factores generales'!$N$41,I50*'Factores generales'!$M$41+J50*'Factores generales'!$N$41)</f>
        <v>10777.31532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Actividad'!$R47*'FE Sectorial'!$H50*'FE Sectorial'!I50*'FE Sectorial'!P50/1000</f>
        <v>0</v>
      </c>
      <c r="I51" s="17">
        <f>'Datos Actividad'!$R47*'FE Sectorial'!$H50*'FE Sectorial'!J50/1000/1000</f>
        <v>0</v>
      </c>
      <c r="J51" s="17">
        <f>'Datos Actividad'!$R47*'FE Sectorial'!$H50*'FE Sectorial'!K50/1000/1000</f>
        <v>0</v>
      </c>
      <c r="K51" s="17">
        <f>'Datos Actividad'!$R47*'FE Sectorial'!$H50*'FE Sectorial'!L50/1000/1000</f>
        <v>0</v>
      </c>
      <c r="L51" s="17">
        <f>'Datos Actividad'!$R47*'FE Sectorial'!$H50*'FE Sectorial'!M50/1000/1000</f>
        <v>0</v>
      </c>
      <c r="M51" s="17">
        <f>'Datos Actividad'!$R47*'FE Sectorial'!$H50*'FE Sectorial'!N50/1000/1000</f>
        <v>0</v>
      </c>
      <c r="N51" s="17">
        <f>'Datos Actividad'!$R47*'FE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Actividad'!$R48*'FE Sectorial'!$H51*'FE Sectorial'!I51*'FE Sectorial'!P51/1000</f>
        <v>22867.864984799999</v>
      </c>
      <c r="I52" s="17">
        <f>'Datos Actividad'!$R48*'FE Sectorial'!$H51*'FE Sectorial'!J51/1000/1000</f>
        <v>0.89530439999999989</v>
      </c>
      <c r="J52" s="17">
        <f>'Datos Actividad'!$R48*'FE Sectorial'!$H51*'FE Sectorial'!K51/1000/1000</f>
        <v>0.17906087999999998</v>
      </c>
      <c r="K52" s="17">
        <f>'Datos Actividad'!$R48*'FE Sectorial'!$H51*'FE Sectorial'!L51/1000/1000</f>
        <v>59.686959999999999</v>
      </c>
      <c r="L52" s="17">
        <f>'Datos Actividad'!$R48*'FE Sectorial'!$H51*'FE Sectorial'!M51/1000/1000</f>
        <v>2.9843479999999998</v>
      </c>
      <c r="M52" s="17">
        <f>'Datos Actividad'!$R48*'FE Sectorial'!$H51*'FE Sectorial'!N51/1000/1000</f>
        <v>1.4921739999999999</v>
      </c>
      <c r="N52" s="17">
        <f>'Datos Actividad'!$R48*'FE Sectorial'!$H51*'FE Sectorial'!O51/1000/1000</f>
        <v>59.095999999999997</v>
      </c>
      <c r="O52" s="87">
        <f>IF(D52&lt;400,H52+I52*'Factores generales'!$M$41+J52*'Factores generales'!$N$41,I52*'Factores generales'!$M$41+J52*'Factores generales'!$N$41)</f>
        <v>22942.17525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Actividad'!$R49*'FE Sectorial'!$H52*'FE Sectorial'!I52*'FE Sectorial'!P52/1000</f>
        <v>430035.72781712894</v>
      </c>
      <c r="I53" s="17">
        <f>'Datos Actividad'!$R49*'FE Sectorial'!$H52*'FE Sectorial'!J52/1000/1000</f>
        <v>148.28818200590658</v>
      </c>
      <c r="J53" s="17">
        <f>'Datos Actividad'!$R49*'FE Sectorial'!$H52*'FE Sectorial'!K52/1000/1000</f>
        <v>19.771757600787538</v>
      </c>
      <c r="K53" s="17">
        <f>'Datos Actividad'!$R49*'FE Sectorial'!$H52*'FE Sectorial'!L52/1000/1000</f>
        <v>494.29394001968853</v>
      </c>
      <c r="L53" s="17">
        <f>'Datos Actividad'!$R49*'FE Sectorial'!$H52*'FE Sectorial'!M52/1000/1000</f>
        <v>19771.75760078754</v>
      </c>
      <c r="M53" s="17">
        <f>'Datos Actividad'!$R49*'FE Sectorial'!$H52*'FE Sectorial'!N52/1000/1000</f>
        <v>247.14697000984427</v>
      </c>
      <c r="N53" s="17">
        <f>'Datos Actividad'!$R49*'FE Sectorial'!$H52*'FE Sectorial'!O52/1000/1000</f>
        <v>0</v>
      </c>
      <c r="O53" s="87">
        <f>IF(D53&lt;400,H53+I53*'Factores generales'!$M$41+J53*'Factores generales'!$N$41,I53*'Factores generales'!$M$41+J53*'Factores generales'!$N$41)</f>
        <v>9243.296678368175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Actividad'!$R50*'FE Sectorial'!$H53*'FE Sectorial'!I53*'FE Sectorial'!P53/1000</f>
        <v>139741.875</v>
      </c>
      <c r="I54" s="17">
        <f>'Datos Actividad'!$R50*'FE Sectorial'!$H53*'FE Sectorial'!J53/1000/1000</f>
        <v>1.4624999999999999</v>
      </c>
      <c r="J54" s="17">
        <f>'Datos Actividad'!$R50*'FE Sectorial'!$H53*'FE Sectorial'!K53/1000/1000</f>
        <v>2.1937500000000005</v>
      </c>
      <c r="K54" s="17">
        <f>'Datos Actividad'!$R50*'FE Sectorial'!$H53*'FE Sectorial'!L53/1000/1000</f>
        <v>438.75</v>
      </c>
      <c r="L54" s="17">
        <f>'Datos Actividad'!$R50*'FE Sectorial'!$H53*'FE Sectorial'!M53/1000/1000</f>
        <v>219.375</v>
      </c>
      <c r="M54" s="17">
        <f>'Datos Actividad'!$R50*'FE Sectorial'!$H53*'FE Sectorial'!N53/1000/1000</f>
        <v>29.25</v>
      </c>
      <c r="N54" s="17">
        <f>'Datos Actividad'!$R50*'FE Sectorial'!$H53*'FE Sectorial'!O53/1000/1000</f>
        <v>0</v>
      </c>
      <c r="O54" s="87">
        <f>IF(D54&lt;400,H54+I54*'Factores generales'!$M$41+J54*'Factores generales'!$N$41,I54*'Factores generales'!$M$41+J54*'Factores generales'!$N$41)</f>
        <v>140452.65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Actividad'!$R51*'FE Sectorial'!$H54*'FE Sectorial'!I54*'FE Sectorial'!P54/1000</f>
        <v>532.02240000000006</v>
      </c>
      <c r="I55" s="17">
        <f>'Datos Actividad'!$R51*'FE Sectorial'!$H54*'FE Sectorial'!J54/1000/1000</f>
        <v>0.1638</v>
      </c>
      <c r="J55" s="17">
        <f>'Datos Actividad'!$R51*'FE Sectorial'!$H54*'FE Sectorial'!K54/1000/1000</f>
        <v>2.1839999999999998E-2</v>
      </c>
      <c r="K55" s="17">
        <f>'Datos Actividad'!$R51*'FE Sectorial'!$H54*'FE Sectorial'!L54/1000/1000</f>
        <v>0.54600000000000004</v>
      </c>
      <c r="L55" s="17">
        <f>'Datos Actividad'!$R51*'FE Sectorial'!$H54*'FE Sectorial'!M54/1000/1000</f>
        <v>10.92</v>
      </c>
      <c r="M55" s="17">
        <f>'Datos Actividad'!$R51*'FE Sectorial'!$H54*'FE Sectorial'!N54/1000/1000</f>
        <v>0.27300000000000002</v>
      </c>
      <c r="N55" s="17">
        <f>'Datos Actividad'!$R51*'FE Sectorial'!$H54*'FE Sectorial'!O54/1000/1000</f>
        <v>1.4</v>
      </c>
      <c r="O55" s="87">
        <f>IF(D55&lt;400,H55+I55*'Factores generales'!$M$41+J55*'Factores generales'!$N$41,I55*'Factores generales'!$M$41+J55*'Factores generales'!$N$41)</f>
        <v>10.2102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680718.93524395209</v>
      </c>
      <c r="I56" s="134">
        <f>SUM(I57:I62)</f>
        <v>563.42479474190645</v>
      </c>
      <c r="J56" s="134">
        <f t="shared" ref="J56:O56" si="14">SUM(J57:J62)</f>
        <v>74.89752815438753</v>
      </c>
      <c r="K56" s="134">
        <f t="shared" si="14"/>
        <v>3658.4848824196888</v>
      </c>
      <c r="L56" s="134">
        <f t="shared" si="14"/>
        <v>69599.709398867533</v>
      </c>
      <c r="M56" s="134">
        <f t="shared" si="14"/>
        <v>976.32900968984427</v>
      </c>
      <c r="N56" s="134">
        <f t="shared" si="14"/>
        <v>666.19767999999999</v>
      </c>
      <c r="O56" s="134">
        <f t="shared" si="14"/>
        <v>715769.08966139238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Actividad'!$R53*'FE Sectorial'!$H56*'FE Sectorial'!I56*'FE Sectorial'!P56/1000</f>
        <v>624413.98186675203</v>
      </c>
      <c r="I57" s="17">
        <f>'Datos Actividad'!$R53*'FE Sectorial'!$H56*'FE Sectorial'!J56/1000/1000</f>
        <v>11.186305535999999</v>
      </c>
      <c r="J57" s="17">
        <f>'Datos Actividad'!$R53*'FE Sectorial'!$H56*'FE Sectorial'!K56/1000/1000</f>
        <v>1.1186305536000001</v>
      </c>
      <c r="K57" s="17">
        <f>'Datos Actividad'!$R53*'FE Sectorial'!$H56*'FE Sectorial'!L56/1000/1000</f>
        <v>1677.9458304000002</v>
      </c>
      <c r="L57" s="17">
        <f>'Datos Actividad'!$R53*'FE Sectorial'!$H56*'FE Sectorial'!M56/1000/1000</f>
        <v>335.58916607999998</v>
      </c>
      <c r="M57" s="17">
        <f>'Datos Actividad'!$R53*'FE Sectorial'!$H56*'FE Sectorial'!N56/1000/1000</f>
        <v>55.931527680000002</v>
      </c>
      <c r="N57" s="17">
        <f>'Datos Actividad'!$R53*'FE Sectorial'!$H56*'FE Sectorial'!O56/1000/1000</f>
        <v>0</v>
      </c>
      <c r="O57" s="87">
        <f>IF(D57&lt;400,H57+I57*'Factores generales'!$M$41+J57*'Factores generales'!$N$41,I57*'Factores generales'!$M$41+J57*'Factores generales'!$N$41)</f>
        <v>624995.66975462402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Actividad'!$R54*'FE Sectorial'!$H57*'FE Sectorial'!I57*'FE Sectorial'!P57/1000</f>
        <v>1192.3771859999999</v>
      </c>
      <c r="I58" s="17">
        <f>'Datos Actividad'!$R54*'FE Sectorial'!$H57*'FE Sectorial'!J57/1000/1000</f>
        <v>4.8762E-2</v>
      </c>
      <c r="J58" s="17">
        <f>'Datos Actividad'!$R54*'FE Sectorial'!$H57*'FE Sectorial'!K57/1000/1000</f>
        <v>9.7523999999999996E-3</v>
      </c>
      <c r="K58" s="17">
        <f>'Datos Actividad'!$R54*'FE Sectorial'!$H57*'FE Sectorial'!L57/1000/1000</f>
        <v>3.2508000000000004</v>
      </c>
      <c r="L58" s="17">
        <f>'Datos Actividad'!$R54*'FE Sectorial'!$H57*'FE Sectorial'!M57/1000/1000</f>
        <v>0.16253999999999999</v>
      </c>
      <c r="M58" s="17">
        <f>'Datos Actividad'!$R54*'FE Sectorial'!$H57*'FE Sectorial'!N57/1000/1000</f>
        <v>8.1269999999999995E-2</v>
      </c>
      <c r="N58" s="17">
        <f>'Datos Actividad'!$R54*'FE Sectorial'!$H57*'FE Sectorial'!O57/1000/1000</f>
        <v>0.58967999999999998</v>
      </c>
      <c r="O58" s="87">
        <f>IF(D58&lt;400,H58+I58*'Factores generales'!$M$41+J58*'Factores generales'!$N$41,I58*'Factores generales'!$M$41+J58*'Factores generales'!$N$41)</f>
        <v>1196.424432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Actividad'!$R55*'FE Sectorial'!$H58*'FE Sectorial'!I58*'FE Sectorial'!P58/1000</f>
        <v>55112.576191200002</v>
      </c>
      <c r="I59" s="17">
        <f>'Datos Actividad'!$R55*'FE Sectorial'!$H58*'FE Sectorial'!J58/1000/1000</f>
        <v>2.1577235999999997</v>
      </c>
      <c r="J59" s="17">
        <f>'Datos Actividad'!$R55*'FE Sectorial'!$H58*'FE Sectorial'!K58/1000/1000</f>
        <v>0.43154471999999999</v>
      </c>
      <c r="K59" s="17">
        <f>'Datos Actividad'!$R55*'FE Sectorial'!$H58*'FE Sectorial'!L58/1000/1000</f>
        <v>143.84824</v>
      </c>
      <c r="L59" s="17">
        <f>'Datos Actividad'!$R55*'FE Sectorial'!$H58*'FE Sectorial'!M58/1000/1000</f>
        <v>7.192412</v>
      </c>
      <c r="M59" s="17">
        <f>'Datos Actividad'!$R55*'FE Sectorial'!$H58*'FE Sectorial'!N58/1000/1000</f>
        <v>3.596206</v>
      </c>
      <c r="N59" s="17">
        <f>'Datos Actividad'!$R55*'FE Sectorial'!$H58*'FE Sectorial'!O58/1000/1000</f>
        <v>142.42400000000001</v>
      </c>
      <c r="O59" s="87">
        <f>IF(D59&lt;400,H59+I59*'Factores generales'!$M$41+J59*'Factores generales'!$N$41,I59*'Factores generales'!$M$41+J59*'Factores generales'!$N$41)</f>
        <v>55291.667250000006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Actividad'!$R56*'FE Sectorial'!$H59*'FE Sectorial'!I59*'FE Sectorial'!P59/1000</f>
        <v>856173.18743999989</v>
      </c>
      <c r="I60" s="17">
        <f>'Datos Actividad'!$R56*'FE Sectorial'!$H59*'FE Sectorial'!J59/1000/1000</f>
        <v>295.23213359999994</v>
      </c>
      <c r="J60" s="17">
        <f>'Datos Actividad'!$R56*'FE Sectorial'!$H59*'FE Sectorial'!K59/1000/1000</f>
        <v>39.364284479999995</v>
      </c>
      <c r="K60" s="17">
        <f>'Datos Actividad'!$R56*'FE Sectorial'!$H59*'FE Sectorial'!L59/1000/1000</f>
        <v>984.1071119999998</v>
      </c>
      <c r="L60" s="17">
        <f>'Datos Actividad'!$R56*'FE Sectorial'!$H59*'FE Sectorial'!M59/1000/1000</f>
        <v>39364.284479999995</v>
      </c>
      <c r="M60" s="17">
        <f>'Datos Actividad'!$R56*'FE Sectorial'!$H59*'FE Sectorial'!N59/1000/1000</f>
        <v>492.0535559999999</v>
      </c>
      <c r="N60" s="17">
        <f>'Datos Actividad'!$R56*'FE Sectorial'!$H59*'FE Sectorial'!O59/1000/1000</f>
        <v>0</v>
      </c>
      <c r="O60" s="87">
        <f>IF(D60&lt;400,H60+I60*'Factores generales'!$M$41+J60*'Factores generales'!$N$41,I60*'Factores generales'!$M$41+J60*'Factores generales'!$N$41)</f>
        <v>18402.802994399997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Actividad'!$R57*'FE Sectorial'!$H60*'FE Sectorial'!I60*'FE Sectorial'!P60/1000</f>
        <v>198818.29094399998</v>
      </c>
      <c r="I61" s="17">
        <f>'Datos Actividad'!$R57*'FE Sectorial'!$H60*'FE Sectorial'!J60/1000/1000</f>
        <v>61.212527999999992</v>
      </c>
      <c r="J61" s="17">
        <f>'Datos Actividad'!$R57*'FE Sectorial'!$H60*'FE Sectorial'!K60/1000/1000</f>
        <v>8.1616703999999984</v>
      </c>
      <c r="K61" s="17">
        <f>'Datos Actividad'!$R57*'FE Sectorial'!$H60*'FE Sectorial'!L60/1000/1000</f>
        <v>204.04176000000001</v>
      </c>
      <c r="L61" s="17">
        <f>'Datos Actividad'!$R57*'FE Sectorial'!$H60*'FE Sectorial'!M60/1000/1000</f>
        <v>4080.8351999999995</v>
      </c>
      <c r="M61" s="17">
        <f>'Datos Actividad'!$R57*'FE Sectorial'!$H60*'FE Sectorial'!N60/1000/1000</f>
        <v>102.02088000000001</v>
      </c>
      <c r="N61" s="17">
        <f>'Datos Actividad'!$R57*'FE Sectorial'!$H60*'FE Sectorial'!O60/1000/1000</f>
        <v>523.18399999999997</v>
      </c>
      <c r="O61" s="87">
        <f>IF(D61&lt;400,H61+I61*'Factores generales'!$M$41+J61*'Factores generales'!$N$41,I61*'Factores generales'!$M$41+J61*'Factores generales'!$N$41)</f>
        <v>3815.5809119999994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Actividad'!$R58*'FE Sectorial'!$H61*'FE Sectorial'!I61*'FE Sectorial'!P61/1000</f>
        <v>561403.29181712889</v>
      </c>
      <c r="I62" s="17">
        <f>'Datos Actividad'!$R58*'FE Sectorial'!$H61*'FE Sectorial'!J61/1000/1000</f>
        <v>193.58734200590652</v>
      </c>
      <c r="J62" s="17">
        <f>'Datos Actividad'!$R58*'FE Sectorial'!$H61*'FE Sectorial'!K61/1000/1000</f>
        <v>25.811645600787536</v>
      </c>
      <c r="K62" s="17">
        <f>'Datos Actividad'!$R58*'FE Sectorial'!$H61*'FE Sectorial'!L61/1000/1000</f>
        <v>645.29114001968844</v>
      </c>
      <c r="L62" s="17">
        <f>'Datos Actividad'!$R58*'FE Sectorial'!$H61*'FE Sectorial'!M61/1000/1000</f>
        <v>25811.645600787535</v>
      </c>
      <c r="M62" s="17">
        <f>'Datos Actividad'!$R58*'FE Sectorial'!$H61*'FE Sectorial'!N61/1000/1000</f>
        <v>322.64557000984422</v>
      </c>
      <c r="N62" s="17">
        <f>'Datos Actividad'!$R58*'FE Sectorial'!$H61*'FE Sectorial'!O61/1000/1000</f>
        <v>0</v>
      </c>
      <c r="O62" s="87">
        <f>IF(D62&lt;400,H62+I62*'Factores generales'!$M$41+J62*'Factores generales'!$N$41,I62*'Factores generales'!$M$41+J62*'Factores generales'!$N$41)</f>
        <v>12066.944318368172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2647029.9109090324</v>
      </c>
      <c r="I63" s="134">
        <f>SUM(I64:I69)</f>
        <v>1897.3289159819067</v>
      </c>
      <c r="J63" s="134">
        <f t="shared" ref="J63:O63" si="15">SUM(J64:J69)</f>
        <v>251.45164113838752</v>
      </c>
      <c r="K63" s="134">
        <f t="shared" si="15"/>
        <v>13277.769394419689</v>
      </c>
      <c r="L63" s="134">
        <f t="shared" si="15"/>
        <v>247980.01117206755</v>
      </c>
      <c r="M63" s="134">
        <f t="shared" si="15"/>
        <v>3319.2729898898442</v>
      </c>
      <c r="N63" s="134">
        <f t="shared" si="15"/>
        <v>35.147799999999997</v>
      </c>
      <c r="O63" s="134">
        <f t="shared" si="15"/>
        <v>2764823.8268975522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Actividad'!$R60*'FE Sectorial'!$H63*'FE Sectorial'!I63*'FE Sectorial'!P63/1000</f>
        <v>2630071.8849208322</v>
      </c>
      <c r="I64" s="17">
        <f>'Datos Actividad'!$R60*'FE Sectorial'!$H63*'FE Sectorial'!J63/1000/1000</f>
        <v>47.117438976000003</v>
      </c>
      <c r="J64" s="17">
        <f>'Datos Actividad'!$R60*'FE Sectorial'!$H63*'FE Sectorial'!K63/1000/1000</f>
        <v>4.7117438975999999</v>
      </c>
      <c r="K64" s="17">
        <f>'Datos Actividad'!$R60*'FE Sectorial'!$H63*'FE Sectorial'!L63/1000/1000</f>
        <v>7067.6158464</v>
      </c>
      <c r="L64" s="17">
        <f>'Datos Actividad'!$R60*'FE Sectorial'!$H63*'FE Sectorial'!M63/1000/1000</f>
        <v>1413.5231692800003</v>
      </c>
      <c r="M64" s="17">
        <f>'Datos Actividad'!$R60*'FE Sectorial'!$H63*'FE Sectorial'!N63/1000/1000</f>
        <v>235.58719488000003</v>
      </c>
      <c r="N64" s="17">
        <f>'Datos Actividad'!$R60*'FE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2632521.9917475847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Actividad'!$R61*'FE Sectorial'!$H64*'FE Sectorial'!I64*'FE Sectorial'!P64/1000</f>
        <v>6640.0898849999985</v>
      </c>
      <c r="I65" s="17">
        <f>'Datos Actividad'!$R61*'FE Sectorial'!$H64*'FE Sectorial'!J64/1000/1000</f>
        <v>0.27154500000000004</v>
      </c>
      <c r="J65" s="17">
        <f>'Datos Actividad'!$R61*'FE Sectorial'!$H64*'FE Sectorial'!K64/1000/1000</f>
        <v>5.4308999999999996E-2</v>
      </c>
      <c r="K65" s="17">
        <f>'Datos Actividad'!$R61*'FE Sectorial'!$H64*'FE Sectorial'!L64/1000/1000</f>
        <v>18.103000000000002</v>
      </c>
      <c r="L65" s="17">
        <f>'Datos Actividad'!$R61*'FE Sectorial'!$H64*'FE Sectorial'!M64/1000/1000</f>
        <v>0.90515000000000001</v>
      </c>
      <c r="M65" s="17">
        <f>'Datos Actividad'!$R61*'FE Sectorial'!$H64*'FE Sectorial'!N64/1000/1000</f>
        <v>0.45257500000000001</v>
      </c>
      <c r="N65" s="17">
        <f>'Datos Actividad'!$R61*'FE Sectorial'!$H64*'FE Sectorial'!O64/1000/1000</f>
        <v>3.2838000000000003</v>
      </c>
      <c r="O65" s="87">
        <f>IF(D65&lt;400,H65+I65*'Factores generales'!$M$41+J65*'Factores generales'!$N$41,I65*'Factores generales'!$M$41+J65*'Factores generales'!$N$41)</f>
        <v>6662.6281199999985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Actividad'!$R62*'FE Sectorial'!$H65*'FE Sectorial'!I65*'FE Sectorial'!P65/1000</f>
        <v>10317.9361032</v>
      </c>
      <c r="I66" s="17">
        <f>'Datos Actividad'!$R62*'FE Sectorial'!$H65*'FE Sectorial'!J65/1000/1000</f>
        <v>0.40395959999999997</v>
      </c>
      <c r="J66" s="17">
        <f>'Datos Actividad'!$R62*'FE Sectorial'!$H65*'FE Sectorial'!K65/1000/1000</f>
        <v>8.0791919999999989E-2</v>
      </c>
      <c r="K66" s="17">
        <f>'Datos Actividad'!$R62*'FE Sectorial'!$H65*'FE Sectorial'!L65/1000/1000</f>
        <v>26.930639999999997</v>
      </c>
      <c r="L66" s="17">
        <f>'Datos Actividad'!$R62*'FE Sectorial'!$H65*'FE Sectorial'!M65/1000/1000</f>
        <v>1.3465319999999996</v>
      </c>
      <c r="M66" s="17">
        <f>'Datos Actividad'!$R62*'FE Sectorial'!$H65*'FE Sectorial'!N65/1000/1000</f>
        <v>0.67326599999999981</v>
      </c>
      <c r="N66" s="17">
        <f>'Datos Actividad'!$R62*'FE Sectorial'!$H65*'FE Sectorial'!O65/1000/1000</f>
        <v>26.663999999999998</v>
      </c>
      <c r="O66" s="87">
        <f>IF(D66&lt;400,H66+I66*'Factores generales'!$M$41+J66*'Factores generales'!$N$41,I66*'Factores generales'!$M$41+J66*'Factores generales'!$N$41)</f>
        <v>10351.464749999999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Actividad'!$R63*'FE Sectorial'!$H66*'FE Sectorial'!I66*'FE Sectorial'!P66/1000</f>
        <v>4851648.0621600002</v>
      </c>
      <c r="I67" s="17">
        <f>'Datos Actividad'!$R63*'FE Sectorial'!$H66*'FE Sectorial'!J66/1000/1000</f>
        <v>1672.9820904000001</v>
      </c>
      <c r="J67" s="17">
        <f>'Datos Actividad'!$R63*'FE Sectorial'!$H66*'FE Sectorial'!K66/1000/1000</f>
        <v>223.06427872</v>
      </c>
      <c r="K67" s="17">
        <f>'Datos Actividad'!$R63*'FE Sectorial'!$H66*'FE Sectorial'!L66/1000/1000</f>
        <v>5576.6069680000001</v>
      </c>
      <c r="L67" s="17">
        <f>'Datos Actividad'!$R63*'FE Sectorial'!$H66*'FE Sectorial'!M66/1000/1000</f>
        <v>223064.27872</v>
      </c>
      <c r="M67" s="17">
        <f>'Datos Actividad'!$R63*'FE Sectorial'!$H66*'FE Sectorial'!N66/1000/1000</f>
        <v>2788.303484</v>
      </c>
      <c r="N67" s="17">
        <f>'Datos Actividad'!$R63*'FE Sectorial'!$H66*'FE Sectorial'!O66/1000/1000</f>
        <v>0</v>
      </c>
      <c r="O67" s="87">
        <f>IF(D67&lt;400,H67+I67*'Factores generales'!$M$41+J67*'Factores generales'!$N$41,I67*'Factores generales'!$M$41+J67*'Factores generales'!$N$41)</f>
        <v>104282.55030160001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Actividad'!$R64*'FE Sectorial'!$H67*'FE Sectorial'!I67*'FE Sectorial'!P67/1000</f>
        <v>1976.0832</v>
      </c>
      <c r="I68" s="17">
        <f>'Datos Actividad'!$R64*'FE Sectorial'!$H67*'FE Sectorial'!J67/1000/1000</f>
        <v>0.60839999999999994</v>
      </c>
      <c r="J68" s="17">
        <f>'Datos Actividad'!$R64*'FE Sectorial'!$H67*'FE Sectorial'!K67/1000/1000</f>
        <v>8.1119999999999998E-2</v>
      </c>
      <c r="K68" s="17">
        <f>'Datos Actividad'!$R64*'FE Sectorial'!$H67*'FE Sectorial'!L67/1000/1000</f>
        <v>2.028</v>
      </c>
      <c r="L68" s="17">
        <f>'Datos Actividad'!$R64*'FE Sectorial'!$H67*'FE Sectorial'!M67/1000/1000</f>
        <v>40.56</v>
      </c>
      <c r="M68" s="17">
        <f>'Datos Actividad'!$R64*'FE Sectorial'!$H67*'FE Sectorial'!N67/1000/1000</f>
        <v>1.014</v>
      </c>
      <c r="N68" s="17">
        <f>'Datos Actividad'!$R64*'FE Sectorial'!$H67*'FE Sectorial'!O67/1000/1000</f>
        <v>5.2</v>
      </c>
      <c r="O68" s="87">
        <f>IF(D68&lt;400,H68+I68*'Factores generales'!$M$41+J68*'Factores generales'!$N$41,I68*'Factores generales'!$M$41+J68*'Factores generales'!$N$41)</f>
        <v>37.923599999999993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Actividad'!$R65*'FE Sectorial'!$H68*'FE Sectorial'!I68*'FE Sectorial'!P68/1000</f>
        <v>510241.89781712898</v>
      </c>
      <c r="I69" s="17">
        <f>'Datos Actividad'!$R65*'FE Sectorial'!$H68*'FE Sectorial'!J68/1000/1000</f>
        <v>175.94548200590654</v>
      </c>
      <c r="J69" s="17">
        <f>'Datos Actividad'!$R65*'FE Sectorial'!$H68*'FE Sectorial'!K68/1000/1000</f>
        <v>23.45939760078754</v>
      </c>
      <c r="K69" s="17">
        <f>'Datos Actividad'!$R65*'FE Sectorial'!$H68*'FE Sectorial'!L68/1000/1000</f>
        <v>586.48494001968845</v>
      </c>
      <c r="L69" s="17">
        <f>'Datos Actividad'!$R65*'FE Sectorial'!$H68*'FE Sectorial'!M68/1000/1000</f>
        <v>23459.397600787539</v>
      </c>
      <c r="M69" s="17">
        <f>'Datos Actividad'!$R65*'FE Sectorial'!$H68*'FE Sectorial'!N68/1000/1000</f>
        <v>293.24247000984423</v>
      </c>
      <c r="N69" s="17">
        <f>'Datos Actividad'!$R65*'FE Sectorial'!$H68*'FE Sectorial'!O68/1000/1000</f>
        <v>0</v>
      </c>
      <c r="O69" s="87">
        <f>IF(D69&lt;400,H69+I69*'Factores generales'!$M$41+J69*'Factores generales'!$N$41,I69*'Factores generales'!$M$41+J69*'Factores generales'!$N$41)</f>
        <v>10967.268378368175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7833040.275233293</v>
      </c>
      <c r="I70" s="134">
        <f t="shared" si="16"/>
        <v>396.85312232656725</v>
      </c>
      <c r="J70" s="134">
        <f t="shared" si="16"/>
        <v>57.991272365918618</v>
      </c>
      <c r="K70" s="134">
        <f t="shared" si="16"/>
        <v>21950.297088384152</v>
      </c>
      <c r="L70" s="134">
        <f t="shared" si="16"/>
        <v>29342.003552266717</v>
      </c>
      <c r="M70" s="134">
        <f t="shared" si="16"/>
        <v>1116.6203893455668</v>
      </c>
      <c r="N70" s="134">
        <f t="shared" si="16"/>
        <v>4293.8018938659297</v>
      </c>
      <c r="O70" s="134">
        <f t="shared" si="16"/>
        <v>7859351.4852355849</v>
      </c>
    </row>
    <row r="71" spans="1:15" outlineLevel="1" x14ac:dyDescent="0.25">
      <c r="B71" s="1" t="s">
        <v>36</v>
      </c>
      <c r="G71" s="1"/>
      <c r="H71" s="15">
        <f>H72+H73+H74+H76</f>
        <v>2720600.3505589128</v>
      </c>
      <c r="I71" s="15">
        <f>SUM(I72:I76)</f>
        <v>139.35846458153384</v>
      </c>
      <c r="J71" s="15">
        <f t="shared" ref="J71:O71" si="17">SUM(J72:J76)</f>
        <v>23.098469137100757</v>
      </c>
      <c r="K71" s="15">
        <f t="shared" si="17"/>
        <v>7818.2314992601505</v>
      </c>
      <c r="L71" s="15">
        <f t="shared" si="17"/>
        <v>8128.8338270700751</v>
      </c>
      <c r="M71" s="15">
        <f t="shared" si="17"/>
        <v>449.30230911067662</v>
      </c>
      <c r="N71" s="15">
        <f t="shared" si="17"/>
        <v>1909.8475638095238</v>
      </c>
      <c r="O71" s="15">
        <f t="shared" si="17"/>
        <v>2730687.4037476266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Actividad'!$R68*'FE Sectorial'!$H71*'FE Sectorial'!I71*'FE Sectorial'!P71/1000</f>
        <v>2310554.0443811761</v>
      </c>
      <c r="I72" s="17">
        <f>'Datos Actividad'!$R68*'FE Sectorial'!$H71*'FE Sectorial'!J71/1000/1000</f>
        <v>41.393313167999999</v>
      </c>
      <c r="J72" s="17">
        <f>'Datos Actividad'!$R68*'FE Sectorial'!$H71*'FE Sectorial'!K71/1000/1000</f>
        <v>4.1393313168000008</v>
      </c>
      <c r="K72" s="17">
        <f>'Datos Actividad'!$R68*'FE Sectorial'!$H71*'FE Sectorial'!L71/1000/1000</f>
        <v>6208.9969752000006</v>
      </c>
      <c r="L72" s="17">
        <f>'Datos Actividad'!$R68*'FE Sectorial'!$H71*'FE Sectorial'!M71/1000/1000</f>
        <v>1241.7993950399998</v>
      </c>
      <c r="M72" s="17">
        <f>'Datos Actividad'!$R68*'FE Sectorial'!$H71*'FE Sectorial'!N71/1000/1000</f>
        <v>206.96656583999996</v>
      </c>
      <c r="N72" s="17">
        <f>'Datos Actividad'!$R68*'FE Sectorial'!$H71*'FE Sectorial'!O71/1000/1000</f>
        <v>0</v>
      </c>
      <c r="O72" s="87">
        <f>IF(D72&lt;400,H72+I72*'Factores generales'!$M$41+J72*'Factores generales'!$N$41,I72*'Factores generales'!$M$41+J72*'Factores generales'!$N$41)</f>
        <v>2312706.4966659122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Actividad'!$R69*'FE Sectorial'!$H72*'FE Sectorial'!I72*'FE Sectorial'!P72/1000</f>
        <v>1290.1647330000001</v>
      </c>
      <c r="I73" s="17">
        <f>'Datos Actividad'!$R69*'FE Sectorial'!$H72*'FE Sectorial'!J72/1000/1000</f>
        <v>5.2761000000000002E-2</v>
      </c>
      <c r="J73" s="17">
        <f>'Datos Actividad'!$R69*'FE Sectorial'!$H72*'FE Sectorial'!K72/1000/1000</f>
        <v>1.0552199999999999E-2</v>
      </c>
      <c r="K73" s="17">
        <f>'Datos Actividad'!$R69*'FE Sectorial'!$H72*'FE Sectorial'!L72/1000/1000</f>
        <v>3.5174000000000003</v>
      </c>
      <c r="L73" s="17">
        <f>'Datos Actividad'!$R69*'FE Sectorial'!$H72*'FE Sectorial'!M72/1000/1000</f>
        <v>0.17587</v>
      </c>
      <c r="M73" s="17">
        <f>'Datos Actividad'!$R69*'FE Sectorial'!$H72*'FE Sectorial'!N72/1000/1000</f>
        <v>8.7934999999999999E-2</v>
      </c>
      <c r="N73" s="17">
        <f>'Datos Actividad'!$R69*'FE Sectorial'!$H72*'FE Sectorial'!O72/1000/1000</f>
        <v>0.63803999999999994</v>
      </c>
      <c r="O73" s="87">
        <f>IF(D73&lt;400,H73+I73*'Factores generales'!$M$41+J73*'Factores generales'!$N$41,I73*'Factores generales'!$M$41+J73*'Factores generales'!$N$41)</f>
        <v>1294.5438960000001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Actividad'!$R70*'FE Sectorial'!$H73*'FE Sectorial'!I73*'FE Sectorial'!P73/1000</f>
        <v>301343.95559210528</v>
      </c>
      <c r="I74" s="17">
        <f>'Datos Actividad'!$R70*'FE Sectorial'!$H73*'FE Sectorial'!J73/1000/1000</f>
        <v>3.1537828947368416</v>
      </c>
      <c r="J74" s="17">
        <f>'Datos Actividad'!$R70*'FE Sectorial'!$H73*'FE Sectorial'!K73/1000/1000</f>
        <v>4.7306743421052646</v>
      </c>
      <c r="K74" s="17">
        <f>'Datos Actividad'!$R70*'FE Sectorial'!$H73*'FE Sectorial'!L73/1000/1000</f>
        <v>946.1348684210526</v>
      </c>
      <c r="L74" s="17">
        <f>'Datos Actividad'!$R70*'FE Sectorial'!$H73*'FE Sectorial'!M73/1000/1000</f>
        <v>473.0674342105263</v>
      </c>
      <c r="M74" s="17">
        <f>'Datos Actividad'!$R70*'FE Sectorial'!$H73*'FE Sectorial'!N73/1000/1000</f>
        <v>63.075657894736835</v>
      </c>
      <c r="N74" s="17">
        <f>'Datos Actividad'!$R70*'FE Sectorial'!$H73*'FE Sectorial'!O73/1000/1000</f>
        <v>0</v>
      </c>
      <c r="O74" s="87">
        <f>IF(D74&lt;400,H74+I74*'Factores generales'!$M$41+J74*'Factores generales'!$N$41,I74*'Factores generales'!$M$41+J74*'Factores generales'!$N$41)</f>
        <v>302876.69407894742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Actividad'!$R71*'FE Sectorial'!$H74*'FE Sectorial'!I74*'FE Sectorial'!P74/1000</f>
        <v>304012.79999999999</v>
      </c>
      <c r="I75" s="17">
        <f>'Datos Actividad'!$R71*'FE Sectorial'!$H74*'FE Sectorial'!J74/1000/1000</f>
        <v>93.6</v>
      </c>
      <c r="J75" s="17">
        <f>'Datos Actividad'!$R71*'FE Sectorial'!$H74*'FE Sectorial'!K74/1000/1000</f>
        <v>12.48</v>
      </c>
      <c r="K75" s="17">
        <f>'Datos Actividad'!$R71*'FE Sectorial'!$H74*'FE Sectorial'!L74/1000/1000</f>
        <v>312</v>
      </c>
      <c r="L75" s="17">
        <f>'Datos Actividad'!$R71*'FE Sectorial'!$H74*'FE Sectorial'!M74/1000/1000</f>
        <v>6240</v>
      </c>
      <c r="M75" s="17">
        <f>'Datos Actividad'!$R71*'FE Sectorial'!$H74*'FE Sectorial'!N74/1000/1000</f>
        <v>156</v>
      </c>
      <c r="N75" s="17">
        <f>'Datos Actividad'!$R71*'FE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Actividad'!$R72*'FE Sectorial'!$H75*'FE Sectorial'!I75*'FE Sectorial'!P75/1000</f>
        <v>107412.18585263156</v>
      </c>
      <c r="I76" s="17">
        <f>'Datos Actividad'!$R72*'FE Sectorial'!$H75*'FE Sectorial'!J75/1000/1000</f>
        <v>1.1586075187969924</v>
      </c>
      <c r="J76" s="17">
        <f>'Datos Actividad'!$R72*'FE Sectorial'!$H75*'FE Sectorial'!K75/1000/1000</f>
        <v>1.7379112781954889</v>
      </c>
      <c r="K76" s="17">
        <f>'Datos Actividad'!$R72*'FE Sectorial'!$H75*'FE Sectorial'!L75/1000/1000</f>
        <v>347.58225563909775</v>
      </c>
      <c r="L76" s="17">
        <f>'Datos Actividad'!$R72*'FE Sectorial'!$H75*'FE Sectorial'!M75/1000/1000</f>
        <v>173.79112781954888</v>
      </c>
      <c r="M76" s="17">
        <f>'Datos Actividad'!$R72*'FE Sectorial'!$H75*'FE Sectorial'!N75/1000/1000</f>
        <v>23.17215037593985</v>
      </c>
      <c r="N76" s="17">
        <f>'Datos Actividad'!$R72*'FE Sectorial'!$H75*'FE Sectorial'!O75/1000/1000</f>
        <v>1109.2095238095237</v>
      </c>
      <c r="O76" s="87">
        <f>IF(D76&lt;400,H76+I76*'Factores generales'!$M$41+J76*'Factores generales'!$N$41,I76*'Factores generales'!$M$41+J76*'Factores generales'!$N$41)</f>
        <v>107975.26910676691</v>
      </c>
    </row>
    <row r="77" spans="1:15" outlineLevel="1" x14ac:dyDescent="0.25">
      <c r="B77" s="1" t="s">
        <v>35</v>
      </c>
      <c r="G77" s="1"/>
      <c r="H77" s="15">
        <f t="shared" ref="H77:O77" si="18">H78+H79</f>
        <v>149037.30406857605</v>
      </c>
      <c r="I77" s="15">
        <f t="shared" si="18"/>
        <v>2.6699863680000004</v>
      </c>
      <c r="J77" s="15">
        <f t="shared" si="18"/>
        <v>0.26699863680000002</v>
      </c>
      <c r="K77" s="15">
        <f t="shared" si="18"/>
        <v>400.49795520000004</v>
      </c>
      <c r="L77" s="15">
        <f t="shared" si="18"/>
        <v>80.099591039999993</v>
      </c>
      <c r="M77" s="15">
        <f t="shared" si="18"/>
        <v>13.349931840000002</v>
      </c>
      <c r="N77" s="15">
        <f t="shared" si="18"/>
        <v>0</v>
      </c>
      <c r="O77" s="15">
        <f t="shared" si="18"/>
        <v>149176.14335971206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Actividad'!$R74*'FE Sectorial'!$H77*'FE Sectorial'!I77*'FE Sectorial'!P77/1000</f>
        <v>149037.30406857605</v>
      </c>
      <c r="I78" s="17">
        <f>'Datos Actividad'!$R74*'FE Sectorial'!$H77*'FE Sectorial'!J77/1000/1000</f>
        <v>2.6699863680000004</v>
      </c>
      <c r="J78" s="17">
        <f>'Datos Actividad'!$R74*'FE Sectorial'!$H77*'FE Sectorial'!K77/1000/1000</f>
        <v>0.26699863680000002</v>
      </c>
      <c r="K78" s="17">
        <f>'Datos Actividad'!$R74*'FE Sectorial'!$H77*'FE Sectorial'!L77/1000/1000</f>
        <v>400.49795520000004</v>
      </c>
      <c r="L78" s="17">
        <f>'Datos Actividad'!$R74*'FE Sectorial'!$H77*'FE Sectorial'!M77/1000/1000</f>
        <v>80.099591039999993</v>
      </c>
      <c r="M78" s="17">
        <f>'Datos Actividad'!$R74*'FE Sectorial'!$H77*'FE Sectorial'!N77/1000/1000</f>
        <v>13.349931840000002</v>
      </c>
      <c r="N78" s="17">
        <f>'Datos Actividad'!$R74*'FE Sectorial'!$H77*'FE Sectorial'!O77/1000/1000</f>
        <v>0</v>
      </c>
      <c r="O78" s="87">
        <f>IF(D78&lt;400,H78+I78*'Factores generales'!$M$41+J78*'Factores generales'!$N$41,I78*'Factores generales'!$M$41+J78*'Factores generales'!$N$41)</f>
        <v>149176.14335971206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Actividad'!$R75*'FE Sectorial'!$H78*'FE Sectorial'!I78*'FE Sectorial'!P78/1000</f>
        <v>0</v>
      </c>
      <c r="I79" s="17">
        <f>'Datos Actividad'!$R75*'FE Sectorial'!$H78*'FE Sectorial'!J78/1000/1000</f>
        <v>0</v>
      </c>
      <c r="J79" s="17">
        <f>'Datos Actividad'!$R75*'FE Sectorial'!$H78*'FE Sectorial'!K78/1000/1000</f>
        <v>0</v>
      </c>
      <c r="K79" s="17">
        <f>'Datos Actividad'!$R75*'FE Sectorial'!$H78*'FE Sectorial'!L78/1000/1000</f>
        <v>0</v>
      </c>
      <c r="L79" s="17">
        <f>'Datos Actividad'!$R75*'FE Sectorial'!$H78*'FE Sectorial'!M78/1000/1000</f>
        <v>0</v>
      </c>
      <c r="M79" s="17">
        <f>'Datos Actividad'!$R75*'FE Sectorial'!$H78*'FE Sectorial'!N78/1000/1000</f>
        <v>0</v>
      </c>
      <c r="N79" s="17">
        <f>'Datos Actividad'!$R75*'FE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68025.166470360011</v>
      </c>
      <c r="I80" s="15">
        <f>SUM(I81:I85)</f>
        <v>143.13938748590655</v>
      </c>
      <c r="J80" s="15">
        <f t="shared" ref="J80:O80" si="19">SUM(J81:J85)</f>
        <v>19.044765848787542</v>
      </c>
      <c r="K80" s="15">
        <f t="shared" si="19"/>
        <v>655.86701201968845</v>
      </c>
      <c r="L80" s="15">
        <f t="shared" si="19"/>
        <v>18959.181045187539</v>
      </c>
      <c r="M80" s="15">
        <f t="shared" si="19"/>
        <v>242.62540740984426</v>
      </c>
      <c r="N80" s="15">
        <f t="shared" si="19"/>
        <v>2.0279999999999999E-2</v>
      </c>
      <c r="O80" s="15">
        <f t="shared" si="19"/>
        <v>76934.971020688186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Actividad'!$R77*'FE Sectorial'!$H80*'FE Sectorial'!I80*'FE Sectorial'!P80/1000</f>
        <v>67984.158789360008</v>
      </c>
      <c r="I81" s="17">
        <f>'Datos Actividad'!$R77*'FE Sectorial'!$H80*'FE Sectorial'!J80/1000/1000</f>
        <v>1.2179284800000001</v>
      </c>
      <c r="J81" s="17">
        <f>'Datos Actividad'!$R77*'FE Sectorial'!$H80*'FE Sectorial'!K80/1000/1000</f>
        <v>0.121792848</v>
      </c>
      <c r="K81" s="17">
        <f>'Datos Actividad'!$R77*'FE Sectorial'!$H80*'FE Sectorial'!L80/1000/1000</f>
        <v>182.68927199999999</v>
      </c>
      <c r="L81" s="17">
        <f>'Datos Actividad'!$R77*'FE Sectorial'!$H80*'FE Sectorial'!M80/1000/1000</f>
        <v>36.537854399999993</v>
      </c>
      <c r="M81" s="17">
        <f>'Datos Actividad'!$R77*'FE Sectorial'!$H80*'FE Sectorial'!N80/1000/1000</f>
        <v>6.0896424000000007</v>
      </c>
      <c r="N81" s="17">
        <f>'Datos Actividad'!$R77*'FE Sectorial'!$H80*'FE Sectorial'!O80/1000/1000</f>
        <v>0</v>
      </c>
      <c r="O81" s="87">
        <f>IF(D81&lt;400,H81+I81*'Factores generales'!$M$41+J81*'Factores generales'!$N$41,I81*'Factores generales'!$M$41+J81*'Factores generales'!$N$41)</f>
        <v>68047.491070320015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Actividad'!$R78*'FE Sectorial'!$H81*'FE Sectorial'!I81*'FE Sectorial'!P81/1000</f>
        <v>41.007680999999998</v>
      </c>
      <c r="I82" s="17">
        <f>'Datos Actividad'!$R78*'FE Sectorial'!$H81*'FE Sectorial'!J81/1000/1000</f>
        <v>1.6770000000000001E-3</v>
      </c>
      <c r="J82" s="17">
        <f>'Datos Actividad'!$R78*'FE Sectorial'!$H81*'FE Sectorial'!K81/1000/1000</f>
        <v>3.3539999999999997E-4</v>
      </c>
      <c r="K82" s="17">
        <f>'Datos Actividad'!$R78*'FE Sectorial'!$H81*'FE Sectorial'!L81/1000/1000</f>
        <v>0.1118</v>
      </c>
      <c r="L82" s="17">
        <f>'Datos Actividad'!$R78*'FE Sectorial'!$H81*'FE Sectorial'!M81/1000/1000</f>
        <v>5.5899999999999995E-3</v>
      </c>
      <c r="M82" s="17">
        <f>'Datos Actividad'!$R78*'FE Sectorial'!$H81*'FE Sectorial'!N81/1000/1000</f>
        <v>2.7949999999999997E-3</v>
      </c>
      <c r="N82" s="17">
        <f>'Datos Actividad'!$R78*'FE Sectorial'!$H81*'FE Sectorial'!O81/1000/1000</f>
        <v>2.0279999999999999E-2</v>
      </c>
      <c r="O82" s="87">
        <f>IF(D82&lt;400,H82+I82*'Factores generales'!$M$41+J82*'Factores generales'!$N$41,I82*'Factores generales'!$M$41+J82*'Factores generales'!$N$41)</f>
        <v>41.146872000000002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Actividad'!$R79*'FE Sectorial'!$H82*'FE Sectorial'!I82*'FE Sectorial'!P82/1000</f>
        <v>0</v>
      </c>
      <c r="I83" s="95">
        <f>'Datos Actividad'!$R79*'FE Sectorial'!$H82*'FE Sectorial'!J82/1000/1000</f>
        <v>0</v>
      </c>
      <c r="J83" s="17">
        <f>'Datos Actividad'!$R79*'FE Sectorial'!$H82*'FE Sectorial'!K82/1000/1000</f>
        <v>0</v>
      </c>
      <c r="K83" s="17">
        <f>'Datos Actividad'!$R79*'FE Sectorial'!$H82*'FE Sectorial'!L82/1000/1000</f>
        <v>0</v>
      </c>
      <c r="L83" s="17">
        <f>'Datos Actividad'!$R79*'FE Sectorial'!$H82*'FE Sectorial'!M82/1000/1000</f>
        <v>0</v>
      </c>
      <c r="M83" s="17">
        <f>'Datos Actividad'!$R79*'FE Sectorial'!$H82*'FE Sectorial'!N82/1000/1000</f>
        <v>0</v>
      </c>
      <c r="N83" s="17">
        <f>'Datos Actividad'!$R79*'FE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Actividad'!$R80*'FE Sectorial'!$H83*'FE Sectorial'!I83*'FE Sectorial'!P83/1000</f>
        <v>0</v>
      </c>
      <c r="I84" s="95">
        <f>'Datos Actividad'!$R80*'FE Sectorial'!$H83*'FE Sectorial'!J83/1000/1000</f>
        <v>0</v>
      </c>
      <c r="J84" s="17">
        <f>'Datos Actividad'!$R80*'FE Sectorial'!$H83*'FE Sectorial'!K83/1000/1000</f>
        <v>0</v>
      </c>
      <c r="K84" s="17">
        <f>'Datos Actividad'!$R80*'FE Sectorial'!$H83*'FE Sectorial'!L83/1000/1000</f>
        <v>0</v>
      </c>
      <c r="L84" s="17">
        <f>'Datos Actividad'!$R80*'FE Sectorial'!$H83*'FE Sectorial'!M83/1000/1000</f>
        <v>0</v>
      </c>
      <c r="M84" s="17">
        <f>'Datos Actividad'!$R80*'FE Sectorial'!$H83*'FE Sectorial'!N83/1000/1000</f>
        <v>0</v>
      </c>
      <c r="N84" s="17">
        <f>'Datos Actividad'!$R80*'FE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Actividad'!$R81*'FE Sectorial'!$H84*'FE Sectorial'!I84*'FE Sectorial'!P84/1000</f>
        <v>411567.36781712895</v>
      </c>
      <c r="I85" s="95">
        <f>'Datos Actividad'!$R81*'FE Sectorial'!$H84*'FE Sectorial'!J84/1000/1000</f>
        <v>141.91978200590654</v>
      </c>
      <c r="J85" s="17">
        <f>'Datos Actividad'!$R81*'FE Sectorial'!$H84*'FE Sectorial'!K84/1000/1000</f>
        <v>18.922637600787542</v>
      </c>
      <c r="K85" s="17">
        <f>'Datos Actividad'!$R81*'FE Sectorial'!$H84*'FE Sectorial'!L84/1000/1000</f>
        <v>473.06594001968853</v>
      </c>
      <c r="L85" s="17">
        <f>'Datos Actividad'!$R81*'FE Sectorial'!$H84*'FE Sectorial'!M84/1000/1000</f>
        <v>18922.637600787541</v>
      </c>
      <c r="M85" s="17">
        <f>'Datos Actividad'!$R81*'FE Sectorial'!$H84*'FE Sectorial'!N84/1000/1000</f>
        <v>236.53297000984426</v>
      </c>
      <c r="N85" s="17">
        <f>'Datos Actividad'!$R81*'FE Sectorial'!$H84*'FE Sectorial'!O84/1000/1000</f>
        <v>0</v>
      </c>
      <c r="O85" s="87">
        <f>IF(D85&lt;400,H85+I85*'Factores generales'!$M$41+J85*'Factores generales'!$N$41,I85*'Factores generales'!$M$41+J85*'Factores generales'!$N$41)</f>
        <v>8846.3330783681758</v>
      </c>
    </row>
    <row r="86" spans="2:15" outlineLevel="1" x14ac:dyDescent="0.25">
      <c r="B86" s="1" t="s">
        <v>38</v>
      </c>
      <c r="G86" s="1"/>
      <c r="H86" s="15">
        <f>H87+H88</f>
        <v>194602.75205975998</v>
      </c>
      <c r="I86" s="15">
        <f>I87+I88+I89</f>
        <v>3.4863586800000004</v>
      </c>
      <c r="J86" s="15">
        <f t="shared" ref="J86:O86" si="20">J87+J88+J89</f>
        <v>0.34864876800000011</v>
      </c>
      <c r="K86" s="15">
        <f t="shared" si="20"/>
        <v>522.94305199999997</v>
      </c>
      <c r="L86" s="15">
        <f t="shared" si="20"/>
        <v>104.5873204</v>
      </c>
      <c r="M86" s="15">
        <f t="shared" si="20"/>
        <v>17.431363400000002</v>
      </c>
      <c r="N86" s="15">
        <f t="shared" si="20"/>
        <v>1.56E-3</v>
      </c>
      <c r="O86" s="15">
        <f t="shared" si="20"/>
        <v>194784.04671011999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Actividad'!$R83*'FE Sectorial'!$H86*'FE Sectorial'!I86*'FE Sectorial'!P86/1000</f>
        <v>194599.59762275999</v>
      </c>
      <c r="I87" s="17">
        <f>'Datos Actividad'!$R83*'FE Sectorial'!$H86*'FE Sectorial'!J86/1000/1000</f>
        <v>3.4862296800000006</v>
      </c>
      <c r="J87" s="17">
        <f>'Datos Actividad'!$R83*'FE Sectorial'!$H86*'FE Sectorial'!K86/1000/1000</f>
        <v>0.34862296800000009</v>
      </c>
      <c r="K87" s="17">
        <f>'Datos Actividad'!$R83*'FE Sectorial'!$H86*'FE Sectorial'!L86/1000/1000</f>
        <v>522.93445199999996</v>
      </c>
      <c r="L87" s="17">
        <f>'Datos Actividad'!$R83*'FE Sectorial'!$H86*'FE Sectorial'!M86/1000/1000</f>
        <v>104.5868904</v>
      </c>
      <c r="M87" s="17">
        <f>'Datos Actividad'!$R83*'FE Sectorial'!$H86*'FE Sectorial'!N86/1000/1000</f>
        <v>17.431148400000001</v>
      </c>
      <c r="N87" s="17">
        <f>'Datos Actividad'!$R83*'FE Sectorial'!$H86*'FE Sectorial'!O86/1000/1000</f>
        <v>0</v>
      </c>
      <c r="O87" s="87">
        <f>IF(D87&lt;400,H87+I87*'Factores generales'!$M$41+J87*'Factores generales'!$N$41,I87*'Factores generales'!$M$41+J87*'Factores generales'!$N$41)</f>
        <v>194780.88156611999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Actividad'!$R84*'FE Sectorial'!$H87*'FE Sectorial'!I87*'FE Sectorial'!P87/1000</f>
        <v>3.1544369999999997</v>
      </c>
      <c r="I88" s="17">
        <f>'Datos Actividad'!$R84*'FE Sectorial'!$H87*'FE Sectorial'!J87/1000/1000</f>
        <v>1.2899999999999999E-4</v>
      </c>
      <c r="J88" s="17">
        <f>'Datos Actividad'!$R84*'FE Sectorial'!$H87*'FE Sectorial'!K87/1000/1000</f>
        <v>2.58E-5</v>
      </c>
      <c r="K88" s="17">
        <f>'Datos Actividad'!$R84*'FE Sectorial'!$H87*'FE Sectorial'!L87/1000/1000</f>
        <v>8.6E-3</v>
      </c>
      <c r="L88" s="17">
        <f>'Datos Actividad'!$R84*'FE Sectorial'!$H87*'FE Sectorial'!M87/1000/1000</f>
        <v>4.2999999999999999E-4</v>
      </c>
      <c r="M88" s="17">
        <f>'Datos Actividad'!$R84*'FE Sectorial'!$H87*'FE Sectorial'!N87/1000/1000</f>
        <v>2.1499999999999999E-4</v>
      </c>
      <c r="N88" s="17">
        <f>'Datos Actividad'!$R84*'FE Sectorial'!$H87*'FE Sectorial'!O87/1000/1000</f>
        <v>1.56E-3</v>
      </c>
      <c r="O88" s="87">
        <f>IF(D88&lt;400,H88+I88*'Factores generales'!$M$41+J88*'Factores generales'!$N$41,I88*'Factores generales'!$M$41+J88*'Factores generales'!$N$41)</f>
        <v>3.1651439999999997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Actividad'!$R85*'FE Sectorial'!$H88*'FE Sectorial'!I88*'FE Sectorial'!P88/1000</f>
        <v>0</v>
      </c>
      <c r="I89" s="95">
        <f>'Datos Actividad'!$R85*'FE Sectorial'!$H88*'FE Sectorial'!J88/1000/1000</f>
        <v>0</v>
      </c>
      <c r="J89" s="17">
        <f>'Datos Actividad'!$R85*'FE Sectorial'!$H88*'FE Sectorial'!K88/1000/1000</f>
        <v>0</v>
      </c>
      <c r="K89" s="17">
        <f>'Datos Actividad'!$R85*'FE Sectorial'!$H88*'FE Sectorial'!L88/1000/1000</f>
        <v>0</v>
      </c>
      <c r="L89" s="17">
        <f>'Datos Actividad'!$R85*'FE Sectorial'!$H88*'FE Sectorial'!M88/1000/1000</f>
        <v>0</v>
      </c>
      <c r="M89" s="17">
        <f>'Datos Actividad'!$R85*'FE Sectorial'!$H88*'FE Sectorial'!N88/1000/1000</f>
        <v>0</v>
      </c>
      <c r="N89" s="17">
        <f>'Datos Actividad'!$R85*'FE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3562582.9280757797</v>
      </c>
      <c r="I90" s="15">
        <f t="shared" si="21"/>
        <v>64.98793802337498</v>
      </c>
      <c r="J90" s="15">
        <f t="shared" si="21"/>
        <v>6.7095699623374978</v>
      </c>
      <c r="K90" s="15">
        <f t="shared" si="21"/>
        <v>9572.5439035062464</v>
      </c>
      <c r="L90" s="15">
        <f t="shared" si="21"/>
        <v>1893.4311647012494</v>
      </c>
      <c r="M90" s="15">
        <f t="shared" si="21"/>
        <v>317.91381811687495</v>
      </c>
      <c r="N90" s="15">
        <f t="shared" si="21"/>
        <v>80.03776000000002</v>
      </c>
      <c r="O90" s="15">
        <f t="shared" si="21"/>
        <v>3566027.6414625952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Actividad'!$R87*'FE Sectorial'!$H90*'FE Sectorial'!I90*'FE Sectorial'!P90/1000</f>
        <v>3509940.0078645796</v>
      </c>
      <c r="I91" s="17">
        <f>'Datos Actividad'!$R87*'FE Sectorial'!$H90*'FE Sectorial'!J90/1000/1000</f>
        <v>62.880176423374976</v>
      </c>
      <c r="J91" s="17">
        <f>'Datos Actividad'!$R87*'FE Sectorial'!$H90*'FE Sectorial'!K90/1000/1000</f>
        <v>6.2880176423374978</v>
      </c>
      <c r="K91" s="17">
        <f>'Datos Actividad'!$R87*'FE Sectorial'!$H90*'FE Sectorial'!L90/1000/1000</f>
        <v>9432.0264635062467</v>
      </c>
      <c r="L91" s="17">
        <f>'Datos Actividad'!$R87*'FE Sectorial'!$H90*'FE Sectorial'!M90/1000/1000</f>
        <v>1886.4052927012494</v>
      </c>
      <c r="M91" s="17">
        <f>'Datos Actividad'!$R87*'FE Sectorial'!$H90*'FE Sectorial'!N90/1000/1000</f>
        <v>314.40088211687493</v>
      </c>
      <c r="N91" s="17">
        <f>'Datos Actividad'!$R87*'FE Sectorial'!$H90*'FE Sectorial'!O90/1000/1000</f>
        <v>0</v>
      </c>
      <c r="O91" s="87">
        <f>IF(D91&lt;400,H91+I91*'Factores generales'!$M$41+J91*'Factores generales'!$N$41,I91*'Factores generales'!$M$41+J91*'Factores generales'!$N$41)</f>
        <v>3513209.7770385952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Actividad'!$R88*'FE Sectorial'!$H91*'FE Sectorial'!I91*'FE Sectorial'!P91/1000</f>
        <v>26800.096751999998</v>
      </c>
      <c r="I92" s="17">
        <f>'Datos Actividad'!$R88*'FE Sectorial'!$H91*'FE Sectorial'!J91/1000/1000</f>
        <v>1.0959839999999998</v>
      </c>
      <c r="J92" s="17">
        <f>'Datos Actividad'!$R88*'FE Sectorial'!$H91*'FE Sectorial'!K91/1000/1000</f>
        <v>0.2191968</v>
      </c>
      <c r="K92" s="17">
        <f>'Datos Actividad'!$R88*'FE Sectorial'!$H91*'FE Sectorial'!L91/1000/1000</f>
        <v>73.065600000000003</v>
      </c>
      <c r="L92" s="17">
        <f>'Datos Actividad'!$R88*'FE Sectorial'!$H91*'FE Sectorial'!M91/1000/1000</f>
        <v>3.6532800000000001</v>
      </c>
      <c r="M92" s="17">
        <f>'Datos Actividad'!$R88*'FE Sectorial'!$H91*'FE Sectorial'!N91/1000/1000</f>
        <v>1.82664</v>
      </c>
      <c r="N92" s="17">
        <f>'Datos Actividad'!$R88*'FE Sectorial'!$H91*'FE Sectorial'!O91/1000/1000</f>
        <v>13.25376</v>
      </c>
      <c r="O92" s="87">
        <f>IF(D92&lt;400,H92+I92*'Factores generales'!$M$41+J92*'Factores generales'!$N$41,I92*'Factores generales'!$M$41+J92*'Factores generales'!$N$41)</f>
        <v>26891.063423999996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Actividad'!$R89*'FE Sectorial'!$H92*'FE Sectorial'!I92*'FE Sectorial'!P92/1000</f>
        <v>25842.823459200001</v>
      </c>
      <c r="I93" s="17">
        <f>'Datos Actividad'!$R89*'FE Sectorial'!$H92*'FE Sectorial'!J92/1000/1000</f>
        <v>1.0117776000000001</v>
      </c>
      <c r="J93" s="17">
        <f>'Datos Actividad'!$R89*'FE Sectorial'!$H92*'FE Sectorial'!K92/1000/1000</f>
        <v>0.20235551999999998</v>
      </c>
      <c r="K93" s="17">
        <f>'Datos Actividad'!$R89*'FE Sectorial'!$H92*'FE Sectorial'!L92/1000/1000</f>
        <v>67.45183999999999</v>
      </c>
      <c r="L93" s="17">
        <f>'Datos Actividad'!$R89*'FE Sectorial'!$H92*'FE Sectorial'!M92/1000/1000</f>
        <v>3.372592</v>
      </c>
      <c r="M93" s="17">
        <f>'Datos Actividad'!$R89*'FE Sectorial'!$H92*'FE Sectorial'!N92/1000/1000</f>
        <v>1.686296</v>
      </c>
      <c r="N93" s="17">
        <f>'Datos Actividad'!$R89*'FE Sectorial'!$H92*'FE Sectorial'!O92/1000/1000</f>
        <v>66.78400000000002</v>
      </c>
      <c r="O93" s="87">
        <f>IF(D93&lt;400,H93+I93*'Factores generales'!$M$41+J93*'Factores generales'!$N$41,I93*'Factores generales'!$M$41+J93*'Factores generales'!$N$41)</f>
        <v>25926.800999999999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1138191.773999904</v>
      </c>
      <c r="I94" s="15">
        <f t="shared" ref="I94:O94" si="22">SUM(I95:I100)</f>
        <v>43.21098718775184</v>
      </c>
      <c r="J94" s="15">
        <f t="shared" si="22"/>
        <v>8.5228200128928329</v>
      </c>
      <c r="K94" s="15">
        <f t="shared" si="22"/>
        <v>2980.2136663980677</v>
      </c>
      <c r="L94" s="15">
        <f t="shared" si="22"/>
        <v>175.87060386784862</v>
      </c>
      <c r="M94" s="15">
        <f t="shared" si="22"/>
        <v>75.997559468170863</v>
      </c>
      <c r="N94" s="15">
        <f t="shared" si="22"/>
        <v>2303.8947300564064</v>
      </c>
      <c r="O94" s="15">
        <f t="shared" si="22"/>
        <v>1141741.2789348434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Actividad'!$R91*'FE Sectorial'!$H94*'FE Sectorial'!I94*'FE Sectorial'!P94/1000</f>
        <v>0</v>
      </c>
      <c r="I95" s="17">
        <f>'Datos Actividad'!$R91*'FE Sectorial'!$H94*'FE Sectorial'!J94/1000/1000</f>
        <v>0</v>
      </c>
      <c r="J95" s="17">
        <f>'Datos Actividad'!$R91*'FE Sectorial'!$H94*'FE Sectorial'!K94/1000/1000</f>
        <v>0</v>
      </c>
      <c r="K95" s="17">
        <f>'Datos Actividad'!$R91*'FE Sectorial'!$H94*'FE Sectorial'!L94/1000/1000</f>
        <v>0</v>
      </c>
      <c r="L95" s="17">
        <f>'Datos Actividad'!$R91*'FE Sectorial'!$H94*'FE Sectorial'!M94/1000/1000</f>
        <v>0</v>
      </c>
      <c r="M95" s="17">
        <f>'Datos Actividad'!$R91*'FE Sectorial'!$H94*'FE Sectorial'!N94/1000/1000</f>
        <v>0</v>
      </c>
      <c r="N95" s="17">
        <f>'Datos Actividad'!$R91*'FE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Actividad'!$R92*'FE Sectorial'!$H95*'FE Sectorial'!I95*'FE Sectorial'!P95/1000</f>
        <v>74573.883409315138</v>
      </c>
      <c r="I96" s="17">
        <f>'Datos Actividad'!$R92*'FE Sectorial'!$H95*'FE Sectorial'!J95/1000/1000</f>
        <v>1.1937742465753434</v>
      </c>
      <c r="J96" s="17">
        <f>'Datos Actividad'!$R92*'FE Sectorial'!$H95*'FE Sectorial'!K95/1000/1000</f>
        <v>0.11937742465753434</v>
      </c>
      <c r="K96" s="17">
        <f>'Datos Actividad'!$R92*'FE Sectorial'!$H95*'FE Sectorial'!L95/1000/1000</f>
        <v>179.0661369863015</v>
      </c>
      <c r="L96" s="17">
        <f>'Datos Actividad'!$R92*'FE Sectorial'!$H95*'FE Sectorial'!M95/1000/1000</f>
        <v>35.813227397260299</v>
      </c>
      <c r="M96" s="17">
        <f>'Datos Actividad'!$R92*'FE Sectorial'!$H95*'FE Sectorial'!N95/1000/1000</f>
        <v>5.9688712328767171</v>
      </c>
      <c r="N96" s="17">
        <f>'Datos Actividad'!$R92*'FE Sectorial'!$H95*'FE Sectorial'!O95/1000/1000</f>
        <v>5.0476712328767173</v>
      </c>
      <c r="O96" s="87">
        <f>IF(D96&lt;400,H96+I96*'Factores generales'!$M$41+J96*'Factores generales'!$N$41,I96*'Factores generales'!$M$41+J96*'Factores generales'!$N$41)</f>
        <v>74635.959670137061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Actividad'!$R93*'FE Sectorial'!$H96*'FE Sectorial'!I96*'FE Sectorial'!P96/1000</f>
        <v>215243.93647058873</v>
      </c>
      <c r="I97" s="17">
        <f>'Datos Actividad'!$R93*'FE Sectorial'!$H96*'FE Sectorial'!J96/1000/1000</f>
        <v>8.8023529411764923</v>
      </c>
      <c r="J97" s="17">
        <f>'Datos Actividad'!$R93*'FE Sectorial'!$H96*'FE Sectorial'!K96/1000/1000</f>
        <v>1.7604705882352985</v>
      </c>
      <c r="K97" s="17">
        <f>'Datos Actividad'!$R93*'FE Sectorial'!$H96*'FE Sectorial'!L96/1000/1000</f>
        <v>586.82352941176623</v>
      </c>
      <c r="L97" s="17">
        <f>'Datos Actividad'!$R93*'FE Sectorial'!$H96*'FE Sectorial'!M96/1000/1000</f>
        <v>29.341176470588302</v>
      </c>
      <c r="M97" s="17">
        <f>'Datos Actividad'!$R93*'FE Sectorial'!$H96*'FE Sectorial'!N96/1000/1000</f>
        <v>14.670588235294151</v>
      </c>
      <c r="N97" s="17">
        <f>'Datos Actividad'!$R93*'FE Sectorial'!$H96*'FE Sectorial'!O96/1000/1000</f>
        <v>106.44705882352967</v>
      </c>
      <c r="O97" s="87">
        <f>IF(D97&lt;400,H97+I97*'Factores generales'!$M$41+J97*'Factores generales'!$N$41,I97*'Factores generales'!$M$41+J97*'Factores generales'!$N$41)</f>
        <v>215974.53176470636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Actividad'!$R94*'FE Sectorial'!$H97*'FE Sectorial'!I97*'FE Sectorial'!P97/1000</f>
        <v>848373.95412000013</v>
      </c>
      <c r="I98" s="17">
        <f>'Datos Actividad'!$R94*'FE Sectorial'!$H97*'FE Sectorial'!J97/1000/1000</f>
        <v>33.214860000000002</v>
      </c>
      <c r="J98" s="17">
        <f>'Datos Actividad'!$R94*'FE Sectorial'!$H97*'FE Sectorial'!K97/1000/1000</f>
        <v>6.6429719999999994</v>
      </c>
      <c r="K98" s="17">
        <f>'Datos Actividad'!$R94*'FE Sectorial'!$H97*'FE Sectorial'!L97/1000/1000</f>
        <v>2214.3240000000001</v>
      </c>
      <c r="L98" s="17">
        <f>'Datos Actividad'!$R94*'FE Sectorial'!$H97*'FE Sectorial'!M97/1000/1000</f>
        <v>110.7162</v>
      </c>
      <c r="M98" s="17">
        <f>'Datos Actividad'!$R94*'FE Sectorial'!$H97*'FE Sectorial'!N97/1000/1000</f>
        <v>55.3581</v>
      </c>
      <c r="N98" s="17">
        <f>'Datos Actividad'!$R94*'FE Sectorial'!$H97*'FE Sectorial'!O97/1000/1000</f>
        <v>2192.4</v>
      </c>
      <c r="O98" s="87">
        <f>IF(D98&lt;400,H98+I98*'Factores generales'!$M$41+J98*'Factores generales'!$N$41,I98*'Factores generales'!$M$41+J98*'Factores generales'!$N$41)</f>
        <v>851130.78750000009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Actividad'!$R95*'FE Sectorial'!$H98*'FE Sectorial'!I98*'FE Sectorial'!P98/1000</f>
        <v>0</v>
      </c>
      <c r="I99" s="17">
        <f>'Datos Actividad'!$R95*'FE Sectorial'!$H98*'FE Sectorial'!J98/1000/1000</f>
        <v>0</v>
      </c>
      <c r="J99" s="17">
        <f>'Datos Actividad'!$R95*'FE Sectorial'!$H98*'FE Sectorial'!K98/1000/1000</f>
        <v>0</v>
      </c>
      <c r="K99" s="17">
        <f>'Datos Actividad'!$R95*'FE Sectorial'!$H98*'FE Sectorial'!L98/1000/1000</f>
        <v>0</v>
      </c>
      <c r="L99" s="17">
        <f>'Datos Actividad'!$R95*'FE Sectorial'!$H98*'FE Sectorial'!M98/1000/1000</f>
        <v>0</v>
      </c>
      <c r="M99" s="17">
        <f>'Datos Actividad'!$R95*'FE Sectorial'!$H98*'FE Sectorial'!N98/1000/1000</f>
        <v>0</v>
      </c>
      <c r="N99" s="17">
        <f>'Datos Actividad'!$R95*'FE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Actividad'!$R96*'FE Sectorial'!$H99*'FE Sectorial'!I99*'FE Sectorial'!P99/1000</f>
        <v>0</v>
      </c>
      <c r="I100" s="17">
        <f>'Datos Actividad'!$R96*'FE Sectorial'!$H99*'FE Sectorial'!J99/1000/1000</f>
        <v>0</v>
      </c>
      <c r="J100" s="17">
        <f>'Datos Actividad'!$R96*'FE Sectorial'!$H99*'FE Sectorial'!K99/1000/1000</f>
        <v>0</v>
      </c>
      <c r="K100" s="17">
        <f>'Datos Actividad'!$R96*'FE Sectorial'!$H99*'FE Sectorial'!L99/1000/1000</f>
        <v>0</v>
      </c>
      <c r="L100" s="17">
        <f>'Datos Actividad'!$R96*'FE Sectorial'!$H99*'FE Sectorial'!M99/1000/1000</f>
        <v>0</v>
      </c>
      <c r="M100" s="17">
        <f>'Datos Actividad'!$R96*'FE Sectorial'!$H99*'FE Sectorial'!N99/1000/1000</f>
        <v>0</v>
      </c>
      <c r="N100" s="17">
        <f>'Datos Actividad'!$R96*'FE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41030013.850126319</v>
      </c>
      <c r="I101" s="129">
        <f t="shared" si="23"/>
        <v>10332.556604766351</v>
      </c>
      <c r="J101" s="129">
        <f t="shared" si="23"/>
        <v>2887.3245047907199</v>
      </c>
      <c r="K101" s="129">
        <f t="shared" si="23"/>
        <v>398687.22672882309</v>
      </c>
      <c r="L101" s="129">
        <f t="shared" si="23"/>
        <v>1700370.4479545814</v>
      </c>
      <c r="M101" s="129">
        <f t="shared" si="23"/>
        <v>319825.28799589537</v>
      </c>
      <c r="N101" s="129">
        <f t="shared" si="23"/>
        <v>13420.674670022319</v>
      </c>
      <c r="O101" s="129">
        <f t="shared" si="23"/>
        <v>42142068.135311529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1612331.1087378641</v>
      </c>
      <c r="I102" s="134">
        <f t="shared" ref="I102:O102" si="24">I105</f>
        <v>11.388932038834952</v>
      </c>
      <c r="J102" s="134">
        <f t="shared" si="24"/>
        <v>45.555728155339807</v>
      </c>
      <c r="K102" s="134">
        <f t="shared" si="24"/>
        <v>5694.4660194174758</v>
      </c>
      <c r="L102" s="134">
        <f t="shared" si="24"/>
        <v>2277.7864077669906</v>
      </c>
      <c r="M102" s="134">
        <f t="shared" si="24"/>
        <v>1138.8932038834953</v>
      </c>
      <c r="N102" s="134">
        <f t="shared" si="24"/>
        <v>1033.009708737864</v>
      </c>
      <c r="O102" s="134">
        <f t="shared" si="24"/>
        <v>1626692.5520388349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2718212.6572430348</v>
      </c>
      <c r="I103" s="15">
        <f t="shared" ref="I103:O103" si="25">I104</f>
        <v>19.200484970283497</v>
      </c>
      <c r="J103" s="15">
        <f t="shared" si="25"/>
        <v>76.80193988113399</v>
      </c>
      <c r="K103" s="15">
        <f t="shared" si="25"/>
        <v>9600.2424851417491</v>
      </c>
      <c r="L103" s="15">
        <f t="shared" si="25"/>
        <v>3840.0969940566993</v>
      </c>
      <c r="M103" s="15">
        <f t="shared" si="25"/>
        <v>1920.0484970283496</v>
      </c>
      <c r="N103" s="15">
        <f t="shared" si="25"/>
        <v>1741.5405868737864</v>
      </c>
      <c r="O103" s="15">
        <f t="shared" si="25"/>
        <v>2742424.4687905619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Actividad'!$R100*'FE Sectorial'!$H103*'FE Sectorial'!I103*'FE Sectorial'!P103/1000</f>
        <v>2718212.6572430348</v>
      </c>
      <c r="I104" s="17">
        <f>'Datos Actividad'!$R100*'FE Sectorial'!$H103*'FE Sectorial'!J103/1000/1000</f>
        <v>19.200484970283497</v>
      </c>
      <c r="J104" s="17">
        <f>'Datos Actividad'!$R100*'FE Sectorial'!$H103*'FE Sectorial'!K103/1000/1000</f>
        <v>76.80193988113399</v>
      </c>
      <c r="K104" s="17">
        <f>'Datos Actividad'!$R100*'FE Sectorial'!$H103*'FE Sectorial'!L103/1000/1000</f>
        <v>9600.2424851417491</v>
      </c>
      <c r="L104" s="17">
        <f>'Datos Actividad'!$R100*'FE Sectorial'!$H103*'FE Sectorial'!M103/1000/1000</f>
        <v>3840.0969940566993</v>
      </c>
      <c r="M104" s="17">
        <f>'Datos Actividad'!$R100*'FE Sectorial'!$H103*'FE Sectorial'!N103/1000/1000</f>
        <v>1920.0484970283496</v>
      </c>
      <c r="N104" s="17">
        <f>'Datos Actividad'!$R100*'FE Sectorial'!$H103*'FE Sectorial'!O103/1000/1000</f>
        <v>1741.5405868737864</v>
      </c>
      <c r="O104" s="87">
        <f>IF(D104&lt;400,H104+I104*'Factores generales'!$M$41+J104*'Factores generales'!$N$41,I104*'Factores generales'!$M$41+J104*'Factores generales'!$N$41)</f>
        <v>2742424.4687905619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1612331.1087378641</v>
      </c>
      <c r="I105" s="15">
        <f t="shared" ref="I105:O105" si="26">I106</f>
        <v>11.388932038834952</v>
      </c>
      <c r="J105" s="15">
        <f t="shared" si="26"/>
        <v>45.555728155339807</v>
      </c>
      <c r="K105" s="15">
        <f t="shared" si="26"/>
        <v>5694.4660194174758</v>
      </c>
      <c r="L105" s="15">
        <f t="shared" si="26"/>
        <v>2277.7864077669906</v>
      </c>
      <c r="M105" s="15">
        <f t="shared" si="26"/>
        <v>1138.8932038834953</v>
      </c>
      <c r="N105" s="15">
        <f t="shared" si="26"/>
        <v>1033.009708737864</v>
      </c>
      <c r="O105" s="15">
        <f t="shared" si="26"/>
        <v>1626692.5520388349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Actividad'!$R102*'FE Sectorial'!$H105*'FE Sectorial'!I105*'FE Sectorial'!P105/1000</f>
        <v>1612331.1087378641</v>
      </c>
      <c r="I106" s="17">
        <f>'Datos Actividad'!$R102*'FE Sectorial'!$H105*'FE Sectorial'!J105/1000/1000</f>
        <v>11.388932038834952</v>
      </c>
      <c r="J106" s="17">
        <f>'Datos Actividad'!$R102*'FE Sectorial'!$H105*'FE Sectorial'!K105/1000/1000</f>
        <v>45.555728155339807</v>
      </c>
      <c r="K106" s="17">
        <f>'Datos Actividad'!$R102*'FE Sectorial'!$H105*'FE Sectorial'!L105/1000/1000</f>
        <v>5694.4660194174758</v>
      </c>
      <c r="L106" s="17">
        <f>'Datos Actividad'!$R102*'FE Sectorial'!$H105*'FE Sectorial'!M105/1000/1000</f>
        <v>2277.7864077669906</v>
      </c>
      <c r="M106" s="17">
        <f>'Datos Actividad'!$R102*'FE Sectorial'!$H105*'FE Sectorial'!N105/1000/1000</f>
        <v>1138.8932038834953</v>
      </c>
      <c r="N106" s="17">
        <f>'Datos Actividad'!$R102*'FE Sectorial'!$H105*'FE Sectorial'!O105/1000/1000</f>
        <v>1033.009708737864</v>
      </c>
      <c r="O106" s="87">
        <f>IF(D106&lt;400,H106+I106*'Factores generales'!$M$41+J106*'Factores generales'!$N$41,I106*'Factores generales'!$M$41+J106*'Factores generales'!$N$41)</f>
        <v>1626692.5520388349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36829307.445048526</v>
      </c>
      <c r="I107" s="134">
        <f t="shared" si="27"/>
        <v>10237.392092756907</v>
      </c>
      <c r="J107" s="134">
        <f t="shared" si="27"/>
        <v>2702.2630439402888</v>
      </c>
      <c r="K107" s="134">
        <f t="shared" si="27"/>
        <v>375898.34823568712</v>
      </c>
      <c r="L107" s="134">
        <f t="shared" si="27"/>
        <v>1688579.1930913429</v>
      </c>
      <c r="M107" s="134">
        <f t="shared" si="27"/>
        <v>316749.02173758263</v>
      </c>
      <c r="N107" s="134">
        <f t="shared" si="27"/>
        <v>11757.647401575541</v>
      </c>
      <c r="O107" s="134">
        <f t="shared" si="27"/>
        <v>37881994.222617909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33345188.741620101</v>
      </c>
      <c r="I108" s="15">
        <f t="shared" ref="I108:O108" si="28">I109+I110+I111+I112+I113</f>
        <v>10052.165154775597</v>
      </c>
      <c r="J108" s="15">
        <f t="shared" si="28"/>
        <v>2517.0361059589795</v>
      </c>
      <c r="K108" s="15">
        <f t="shared" si="28"/>
        <v>337903.07890618779</v>
      </c>
      <c r="L108" s="15">
        <f t="shared" si="28"/>
        <v>1641085.1064294688</v>
      </c>
      <c r="M108" s="15">
        <f t="shared" si="28"/>
        <v>307250.20440520783</v>
      </c>
      <c r="N108" s="15">
        <f t="shared" si="28"/>
        <v>10034.60611802848</v>
      </c>
      <c r="O108" s="15">
        <f t="shared" si="28"/>
        <v>34336565.402717672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Actividad'!$R105*'FE Sectorial'!$H108*'FE Sectorial'!I108*'FE Sectorial'!P108/1000</f>
        <v>2906838.1116363606</v>
      </c>
      <c r="I109" s="17">
        <f>'Datos Actividad'!$R105*'FE Sectorial'!$H108*'FE Sectorial'!J108/1000/1000</f>
        <v>4790.96205216</v>
      </c>
      <c r="J109" s="17">
        <f>'Datos Actividad'!$R105*'FE Sectorial'!$H108*'FE Sectorial'!K108/1000/1000</f>
        <v>156.22702343999998</v>
      </c>
      <c r="K109" s="17">
        <f>'Datos Actividad'!$R105*'FE Sectorial'!$H108*'FE Sectorial'!L108/1000/1000</f>
        <v>31245.404688000006</v>
      </c>
      <c r="L109" s="17">
        <f>'Datos Actividad'!$R105*'FE Sectorial'!$H108*'FE Sectorial'!M108/1000/1000</f>
        <v>20830.269791999999</v>
      </c>
      <c r="M109" s="17">
        <f>'Datos Actividad'!$R105*'FE Sectorial'!$H108*'FE Sectorial'!N108/1000/1000</f>
        <v>260.37837240000005</v>
      </c>
      <c r="N109" s="17">
        <f>'Datos Actividad'!$R105*'FE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3055878.6919981209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Actividad'!$R106*'FE Sectorial'!$H109*'FE Sectorial'!I109*'FE Sectorial'!P109/1000</f>
        <v>18733213.421938524</v>
      </c>
      <c r="I110" s="17">
        <f>'Datos Actividad'!$R106*'FE Sectorial'!$H109*'FE Sectorial'!J109/1000/1000</f>
        <v>995.91777894410006</v>
      </c>
      <c r="J110" s="17">
        <f>'Datos Actividad'!$R106*'FE Sectorial'!$H109*'FE Sectorial'!K109/1000/1000</f>
        <v>995.91777894410006</v>
      </c>
      <c r="K110" s="17">
        <f>'Datos Actividad'!$R106*'FE Sectorial'!$H109*'FE Sectorial'!L109/1000/1000</f>
        <v>204290.82645007182</v>
      </c>
      <c r="L110" s="17">
        <f>'Datos Actividad'!$R106*'FE Sectorial'!$H109*'FE Sectorial'!M109/1000/1000</f>
        <v>255363.53306258976</v>
      </c>
      <c r="M110" s="17">
        <f>'Datos Actividad'!$R106*'FE Sectorial'!$H109*'FE Sectorial'!N109/1000/1000</f>
        <v>51072.706612517955</v>
      </c>
      <c r="N110" s="17">
        <f>'Datos Actividad'!$R106*'FE Sectorial'!$H109*'FE Sectorial'!O109/1000/1000</f>
        <v>9264.3514320381419</v>
      </c>
      <c r="O110" s="87">
        <f>IF(D110&lt;400,H110+I110*'Factores generales'!$M$41+J110*'Factores generales'!$N$41,I110*'Factores generales'!$M$41+J110*'Factores generales'!$N$41)</f>
        <v>19062862.206769023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Actividad'!$R107*'FE Sectorial'!$H110*'FE Sectorial'!I110*'FE Sectorial'!P110/1000</f>
        <v>11705137.208045216</v>
      </c>
      <c r="I111" s="17">
        <f>'Datos Actividad'!$R107*'FE Sectorial'!$H110*'FE Sectorial'!J110/1000/1000</f>
        <v>4265.2853236714973</v>
      </c>
      <c r="J111" s="17">
        <f>'Datos Actividad'!$R107*'FE Sectorial'!$H110*'FE Sectorial'!K110/1000/1000</f>
        <v>1364.8913035748792</v>
      </c>
      <c r="K111" s="17">
        <f>'Datos Actividad'!$R107*'FE Sectorial'!$H110*'FE Sectorial'!L110/1000/1000</f>
        <v>102366.84776811594</v>
      </c>
      <c r="L111" s="17">
        <f>'Datos Actividad'!$R107*'FE Sectorial'!$H110*'FE Sectorial'!M110/1000/1000</f>
        <v>1364891.3035748792</v>
      </c>
      <c r="M111" s="17">
        <f>'Datos Actividad'!$R107*'FE Sectorial'!$H110*'FE Sectorial'!N110/1000/1000</f>
        <v>255917.11942028985</v>
      </c>
      <c r="N111" s="17">
        <f>'Datos Actividad'!$R107*'FE Sectorial'!$H110*'FE Sectorial'!O110/1000/1000</f>
        <v>770.2546859903382</v>
      </c>
      <c r="O111" s="87">
        <f>IF(D111&lt;400,H111+I111*'Factores generales'!$M$41+J111*'Factores generales'!$N$41,I111*'Factores generales'!$M$41+J111*'Factores generales'!$N$41)</f>
        <v>12217824.503950529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Actividad'!$R108*'FE Sectorial'!$H111*'FE Sectorial'!I111*'FE Sectorial'!P111/1000</f>
        <v>0</v>
      </c>
      <c r="I112" s="17">
        <f>'Datos Actividad'!$R108*'FE Sectorial'!$H111*'FE Sectorial'!J111/1000/1000</f>
        <v>0</v>
      </c>
      <c r="J112" s="17">
        <f>'Datos Actividad'!$R108*'FE Sectorial'!$H111*'FE Sectorial'!K111/1000/1000</f>
        <v>0</v>
      </c>
      <c r="K112" s="17">
        <f>'Datos Actividad'!$R108*'FE Sectorial'!$H111*'FE Sectorial'!L111/1000/1000</f>
        <v>0</v>
      </c>
      <c r="L112" s="17">
        <f>'Datos Actividad'!$R108*'FE Sectorial'!$H111*'FE Sectorial'!M111/1000/1000</f>
        <v>0</v>
      </c>
      <c r="M112" s="17">
        <f>'Datos Actividad'!$R108*'FE Sectorial'!$H111*'FE Sectorial'!N111/1000/1000</f>
        <v>0</v>
      </c>
      <c r="N112" s="17">
        <f>'Datos Actividad'!$R108*'FE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Actividad'!$R109*'FE Sectorial'!$H112*'FE Sectorial'!I112*'FE Sectorial'!P112/1000</f>
        <v>0</v>
      </c>
      <c r="I113" s="17">
        <f>'Datos Actividad'!$R109*'FE Sectorial'!$H112*'FE Sectorial'!J112/1000/1000</f>
        <v>0</v>
      </c>
      <c r="J113" s="17">
        <f>'Datos Actividad'!$R109*'FE Sectorial'!$H112*'FE Sectorial'!K112/1000/1000</f>
        <v>0</v>
      </c>
      <c r="K113" s="17">
        <f>'Datos Actividad'!$R109*'FE Sectorial'!$H112*'FE Sectorial'!L112/1000/1000</f>
        <v>0</v>
      </c>
      <c r="L113" s="17">
        <f>'Datos Actividad'!$R109*'FE Sectorial'!$H112*'FE Sectorial'!M112/1000/1000</f>
        <v>0</v>
      </c>
      <c r="M113" s="17">
        <f>'Datos Actividad'!$R109*'FE Sectorial'!$H112*'FE Sectorial'!N112/1000/1000</f>
        <v>0</v>
      </c>
      <c r="N113" s="17">
        <f>'Datos Actividad'!$R109*'FE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3484118.7034284244</v>
      </c>
      <c r="I114" s="15">
        <f t="shared" ref="I114:O114" si="29">I115</f>
        <v>185.22693798130913</v>
      </c>
      <c r="J114" s="15">
        <f t="shared" si="29"/>
        <v>185.22693798130913</v>
      </c>
      <c r="K114" s="15">
        <f t="shared" si="29"/>
        <v>37995.269329499315</v>
      </c>
      <c r="L114" s="15">
        <f t="shared" si="29"/>
        <v>47494.086661874135</v>
      </c>
      <c r="M114" s="15">
        <f t="shared" si="29"/>
        <v>9498.8173323748288</v>
      </c>
      <c r="N114" s="15">
        <f t="shared" si="29"/>
        <v>1723.0412835470618</v>
      </c>
      <c r="O114" s="15">
        <f t="shared" si="29"/>
        <v>3545428.8199002375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Actividad'!$R111*'FE Sectorial'!$H114*'FE Sectorial'!I114*'FE Sectorial'!P114/1000</f>
        <v>3484118.7034284244</v>
      </c>
      <c r="I115" s="17">
        <f>'Datos Actividad'!$R111*'FE Sectorial'!$H114*'FE Sectorial'!J114/1000/1000</f>
        <v>185.22693798130913</v>
      </c>
      <c r="J115" s="17">
        <f>'Datos Actividad'!$R111*'FE Sectorial'!$H114*'FE Sectorial'!K114/1000/1000</f>
        <v>185.22693798130913</v>
      </c>
      <c r="K115" s="17">
        <f>'Datos Actividad'!$R111*'FE Sectorial'!$H114*'FE Sectorial'!L114/1000/1000</f>
        <v>37995.269329499315</v>
      </c>
      <c r="L115" s="17">
        <f>'Datos Actividad'!$R111*'FE Sectorial'!$H114*'FE Sectorial'!M114/1000/1000</f>
        <v>47494.086661874135</v>
      </c>
      <c r="M115" s="17">
        <f>'Datos Actividad'!$R111*'FE Sectorial'!$H114*'FE Sectorial'!N114/1000/1000</f>
        <v>9498.8173323748288</v>
      </c>
      <c r="N115" s="17">
        <f>'Datos Actividad'!$R111*'FE Sectorial'!$H114*'FE Sectorial'!O114/1000/1000</f>
        <v>1723.0412835470618</v>
      </c>
      <c r="O115" s="87">
        <f>IF(D115&lt;400,H115+I115*'Factores generales'!$M$41+J115*'Factores generales'!$N$41,I115*'Factores generales'!$M$41+J115*'Factores generales'!$N$41)</f>
        <v>3545428.8199002375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326481.69181375869</v>
      </c>
      <c r="I116" s="134">
        <f t="shared" ref="I116:O116" si="30">I117</f>
        <v>18.469431440274526</v>
      </c>
      <c r="J116" s="134">
        <f t="shared" si="30"/>
        <v>127.28331064863889</v>
      </c>
      <c r="K116" s="134">
        <f t="shared" si="30"/>
        <v>5340.558488754079</v>
      </c>
      <c r="L116" s="134">
        <f t="shared" si="30"/>
        <v>4450.4654072950661</v>
      </c>
      <c r="M116" s="134">
        <f t="shared" si="30"/>
        <v>890.09308145901332</v>
      </c>
      <c r="N116" s="134">
        <f t="shared" si="30"/>
        <v>161.45874500884423</v>
      </c>
      <c r="O116" s="134">
        <f t="shared" si="30"/>
        <v>366327.37617508252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Actividad'!$R113*'FE Sectorial'!$H116*'FE Sectorial'!I116*'FE Sectorial'!P116/1000</f>
        <v>326481.69181375869</v>
      </c>
      <c r="I117" s="17">
        <f>'Datos Actividad'!$R113*'FE Sectorial'!$H116*'FE Sectorial'!J116/1000/1000</f>
        <v>18.469431440274526</v>
      </c>
      <c r="J117" s="17">
        <f>'Datos Actividad'!$R113*'FE Sectorial'!$H116*'FE Sectorial'!K116/1000/1000</f>
        <v>127.28331064863889</v>
      </c>
      <c r="K117" s="17">
        <f>'Datos Actividad'!$R113*'FE Sectorial'!$H116*'FE Sectorial'!L116/1000/1000</f>
        <v>5340.558488754079</v>
      </c>
      <c r="L117" s="17">
        <f>'Datos Actividad'!$R113*'FE Sectorial'!$H116*'FE Sectorial'!M116/1000/1000</f>
        <v>4450.4654072950661</v>
      </c>
      <c r="M117" s="17">
        <f>'Datos Actividad'!$R113*'FE Sectorial'!$H116*'FE Sectorial'!N116/1000/1000</f>
        <v>890.09308145901332</v>
      </c>
      <c r="N117" s="17">
        <f>'Datos Actividad'!$R113*'FE Sectorial'!$H116*'FE Sectorial'!O116/1000/1000</f>
        <v>161.45874500884423</v>
      </c>
      <c r="O117" s="87">
        <f>IF(D117&lt;400,H117+I117*'Factores generales'!$M$41+J117*'Factores generales'!$N$41,I117*'Factores generales'!$M$41+J117*'Factores generales'!$N$41)</f>
        <v>366327.37617508252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326836.14710164466</v>
      </c>
      <c r="I118" s="134">
        <f t="shared" ref="I118:O118" si="31">I122</f>
        <v>30.591998195334078</v>
      </c>
      <c r="J118" s="134">
        <f t="shared" si="31"/>
        <v>8.7405709129525935</v>
      </c>
      <c r="K118" s="134">
        <f t="shared" si="31"/>
        <v>6555.4281847144448</v>
      </c>
      <c r="L118" s="134">
        <f t="shared" si="31"/>
        <v>4370.2854564762965</v>
      </c>
      <c r="M118" s="134">
        <f t="shared" si="31"/>
        <v>874.0570912952594</v>
      </c>
      <c r="N118" s="134">
        <f t="shared" si="31"/>
        <v>467.29677470007033</v>
      </c>
      <c r="O118" s="134">
        <f t="shared" si="31"/>
        <v>330188.15604676196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1697542.07619546</v>
      </c>
      <c r="I119" s="15">
        <f t="shared" ref="I119:O119" si="32">I120+I121</f>
        <v>157.24410617999999</v>
      </c>
      <c r="J119" s="15">
        <f t="shared" si="32"/>
        <v>44.926887479999998</v>
      </c>
      <c r="K119" s="15">
        <f t="shared" si="32"/>
        <v>33695.165610000004</v>
      </c>
      <c r="L119" s="15">
        <f t="shared" si="32"/>
        <v>22463.443739999999</v>
      </c>
      <c r="M119" s="15">
        <f t="shared" si="32"/>
        <v>4492.6887480000005</v>
      </c>
      <c r="N119" s="15">
        <f t="shared" si="32"/>
        <v>3272.8132728</v>
      </c>
      <c r="O119" s="15">
        <f t="shared" si="32"/>
        <v>1714771.53754404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Actividad'!$R116*'FE Sectorial'!$H119*'FE Sectorial'!I119*'FE Sectorial'!P119/1000</f>
        <v>533110.51499705995</v>
      </c>
      <c r="I120" s="17">
        <f>'Datos Actividad'!$R116*'FE Sectorial'!$H119*'FE Sectorial'!J119/1000/1000</f>
        <v>50.87001738</v>
      </c>
      <c r="J120" s="17">
        <f>'Datos Actividad'!$R116*'FE Sectorial'!$H119*'FE Sectorial'!K119/1000/1000</f>
        <v>14.53429068</v>
      </c>
      <c r="K120" s="17">
        <f>'Datos Actividad'!$R116*'FE Sectorial'!$H119*'FE Sectorial'!L119/1000/1000</f>
        <v>10900.718010000001</v>
      </c>
      <c r="L120" s="17">
        <f>'Datos Actividad'!$R116*'FE Sectorial'!$H119*'FE Sectorial'!M119/1000/1000</f>
        <v>7267.14534</v>
      </c>
      <c r="M120" s="17">
        <f>'Datos Actividad'!$R116*'FE Sectorial'!$H119*'FE Sectorial'!N119/1000/1000</f>
        <v>1453.4290679999999</v>
      </c>
      <c r="N120" s="17">
        <f>'Datos Actividad'!$R116*'FE Sectorial'!$H119*'FE Sectorial'!O119/1000/1000</f>
        <v>263.64527280000004</v>
      </c>
      <c r="O120" s="87">
        <f>IF(D120&lt;400,H120+I120*'Factores generales'!$M$41+J120*'Factores generales'!$N$41,I120*'Factores generales'!$M$41+J120*'Factores generales'!$N$41)</f>
        <v>538684.41547283996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Actividad'!$R117*'FE Sectorial'!$H120*'FE Sectorial'!I120*'FE Sectorial'!P120/1000</f>
        <v>1164431.5611984001</v>
      </c>
      <c r="I121" s="17">
        <f>'Datos Actividad'!$R117*'FE Sectorial'!$H120*'FE Sectorial'!J120/1000/1000</f>
        <v>106.3740888</v>
      </c>
      <c r="J121" s="17">
        <f>'Datos Actividad'!$R117*'FE Sectorial'!$H120*'FE Sectorial'!K120/1000/1000</f>
        <v>30.3925968</v>
      </c>
      <c r="K121" s="17">
        <f>'Datos Actividad'!$R117*'FE Sectorial'!$H120*'FE Sectorial'!L120/1000/1000</f>
        <v>22794.447600000003</v>
      </c>
      <c r="L121" s="17">
        <f>'Datos Actividad'!$R117*'FE Sectorial'!$H120*'FE Sectorial'!M120/1000/1000</f>
        <v>15196.2984</v>
      </c>
      <c r="M121" s="17">
        <f>'Datos Actividad'!$R117*'FE Sectorial'!$H120*'FE Sectorial'!N120/1000/1000</f>
        <v>3039.2596800000001</v>
      </c>
      <c r="N121" s="17">
        <f>'Datos Actividad'!$R117*'FE Sectorial'!$H120*'FE Sectorial'!O120/1000/1000</f>
        <v>3009.1680000000001</v>
      </c>
      <c r="O121" s="87">
        <f>IF(D121&lt;400,H121+I121*'Factores generales'!$M$41+J121*'Factores generales'!$N$41,I121*'Factores generales'!$M$41+J121*'Factores generales'!$N$41)</f>
        <v>1176087.1220712001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326836.14710164466</v>
      </c>
      <c r="I122" s="15">
        <f t="shared" ref="I122:O122" si="33">I123+I124</f>
        <v>30.591998195334078</v>
      </c>
      <c r="J122" s="15">
        <f t="shared" si="33"/>
        <v>8.7405709129525935</v>
      </c>
      <c r="K122" s="15">
        <f t="shared" si="33"/>
        <v>6555.4281847144448</v>
      </c>
      <c r="L122" s="15">
        <f t="shared" si="33"/>
        <v>4370.2854564762965</v>
      </c>
      <c r="M122" s="15">
        <f t="shared" si="33"/>
        <v>874.0570912952594</v>
      </c>
      <c r="N122" s="15">
        <f t="shared" si="33"/>
        <v>467.29677470007033</v>
      </c>
      <c r="O122" s="15">
        <f t="shared" si="33"/>
        <v>330188.15604676196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Actividad'!$R119*'FE Sectorial'!$H122*'FE Sectorial'!I122*'FE Sectorial'!P122/1000</f>
        <v>180564.77570164463</v>
      </c>
      <c r="I123" s="17">
        <f>'Datos Actividad'!$R119*'FE Sectorial'!$H122*'FE Sectorial'!J122/1000/1000</f>
        <v>17.229698195334077</v>
      </c>
      <c r="J123" s="17">
        <f>'Datos Actividad'!$R119*'FE Sectorial'!$H122*'FE Sectorial'!K122/1000/1000</f>
        <v>4.9227709129525934</v>
      </c>
      <c r="K123" s="17">
        <f>'Datos Actividad'!$R119*'FE Sectorial'!$H122*'FE Sectorial'!L122/1000/1000</f>
        <v>3692.0781847144449</v>
      </c>
      <c r="L123" s="17">
        <f>'Datos Actividad'!$R119*'FE Sectorial'!$H122*'FE Sectorial'!M122/1000/1000</f>
        <v>2461.3854564762969</v>
      </c>
      <c r="M123" s="17">
        <f>'Datos Actividad'!$R119*'FE Sectorial'!$H122*'FE Sectorial'!N122/1000/1000</f>
        <v>492.27709129525937</v>
      </c>
      <c r="N123" s="17">
        <f>'Datos Actividad'!$R119*'FE Sectorial'!$H122*'FE Sectorial'!O122/1000/1000</f>
        <v>89.296774700070316</v>
      </c>
      <c r="O123" s="87">
        <f>IF(D123&lt;400,H123+I123*'Factores generales'!$M$41+J123*'Factores generales'!$N$41,I123*'Factores generales'!$M$41+J123*'Factores generales'!$N$41)</f>
        <v>182452.65834676195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Actividad'!$R120*'FE Sectorial'!$H123*'FE Sectorial'!I123*'FE Sectorial'!P123/1000</f>
        <v>146271.3714</v>
      </c>
      <c r="I124" s="17">
        <f>'Datos Actividad'!$R120*'FE Sectorial'!$H123*'FE Sectorial'!J123/1000/1000</f>
        <v>13.362299999999999</v>
      </c>
      <c r="J124" s="17">
        <f>'Datos Actividad'!$R120*'FE Sectorial'!$H123*'FE Sectorial'!K123/1000/1000</f>
        <v>3.8178000000000001</v>
      </c>
      <c r="K124" s="17">
        <f>'Datos Actividad'!$R120*'FE Sectorial'!$H123*'FE Sectorial'!L123/1000/1000</f>
        <v>2863.35</v>
      </c>
      <c r="L124" s="17">
        <f>'Datos Actividad'!$R120*'FE Sectorial'!$H123*'FE Sectorial'!M123/1000/1000</f>
        <v>1908.9</v>
      </c>
      <c r="M124" s="17">
        <f>'Datos Actividad'!$R120*'FE Sectorial'!$H123*'FE Sectorial'!N123/1000/1000</f>
        <v>381.78</v>
      </c>
      <c r="N124" s="17">
        <f>'Datos Actividad'!$R120*'FE Sectorial'!$H123*'FE Sectorial'!O123/1000/1000</f>
        <v>378</v>
      </c>
      <c r="O124" s="87">
        <f>IF(D124&lt;400,H124+I124*'Factores generales'!$M$41+J124*'Factores generales'!$N$41,I124*'Factores generales'!$M$41+J124*'Factores generales'!$N$41)</f>
        <v>147735.49770000001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1935057.4574245198</v>
      </c>
      <c r="I125" s="134">
        <f t="shared" si="34"/>
        <v>34.714150334999999</v>
      </c>
      <c r="J125" s="134">
        <f t="shared" si="34"/>
        <v>3.4818511334999998</v>
      </c>
      <c r="K125" s="134">
        <f t="shared" si="34"/>
        <v>5198.4258002499982</v>
      </c>
      <c r="L125" s="134">
        <f t="shared" si="34"/>
        <v>692.71759169999984</v>
      </c>
      <c r="M125" s="134">
        <f t="shared" si="34"/>
        <v>173.22288167499997</v>
      </c>
      <c r="N125" s="134">
        <f t="shared" si="34"/>
        <v>1.2620400000000001</v>
      </c>
      <c r="O125" s="134">
        <f t="shared" si="34"/>
        <v>1936865.8284329397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1935057.4574245198</v>
      </c>
      <c r="I126" s="15">
        <f t="shared" si="35"/>
        <v>34.714150334999999</v>
      </c>
      <c r="J126" s="15">
        <f t="shared" si="35"/>
        <v>3.4818511334999998</v>
      </c>
      <c r="K126" s="15">
        <f t="shared" si="35"/>
        <v>5198.4258002499982</v>
      </c>
      <c r="L126" s="15">
        <f t="shared" si="35"/>
        <v>692.71759169999984</v>
      </c>
      <c r="M126" s="15">
        <f t="shared" si="35"/>
        <v>173.22288167499997</v>
      </c>
      <c r="N126" s="15">
        <f t="shared" si="35"/>
        <v>1.2620400000000001</v>
      </c>
      <c r="O126" s="15">
        <f t="shared" si="35"/>
        <v>1936865.8284329397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Actividad'!$R123*'FE Sectorial'!$H126*'FE Sectorial'!I126*'FE Sectorial'!P126/1000</f>
        <v>1909297.2450023997</v>
      </c>
      <c r="I127" s="17">
        <f>'Datos Actividad'!$R123*'FE Sectorial'!$H126*'FE Sectorial'!J126/1000/1000</f>
        <v>34.204843199999999</v>
      </c>
      <c r="J127" s="17">
        <f>'Datos Actividad'!$R123*'FE Sectorial'!$H126*'FE Sectorial'!K126/1000/1000</f>
        <v>3.4204843199999999</v>
      </c>
      <c r="K127" s="17">
        <f>'Datos Actividad'!$R123*'FE Sectorial'!$H126*'FE Sectorial'!L126/1000/1000</f>
        <v>5130.7264799999984</v>
      </c>
      <c r="L127" s="17">
        <f>'Datos Actividad'!$R123*'FE Sectorial'!$H126*'FE Sectorial'!M126/1000/1000</f>
        <v>684.09686399999987</v>
      </c>
      <c r="M127" s="17">
        <f>'Datos Actividad'!$R123*'FE Sectorial'!$H126*'FE Sectorial'!N126/1000/1000</f>
        <v>171.02421599999997</v>
      </c>
      <c r="N127" s="17">
        <f>'Datos Actividad'!$R123*'FE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1911075.8968487997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Actividad'!$R124*'FE Sectorial'!$H127*'FE Sectorial'!I127*'FE Sectorial'!P127/1000</f>
        <v>2551.9395329999998</v>
      </c>
      <c r="I128" s="17">
        <f>'Datos Actividad'!$R124*'FE Sectorial'!$H127*'FE Sectorial'!J127/1000/1000</f>
        <v>0.10436100000000001</v>
      </c>
      <c r="J128" s="17">
        <f>'Datos Actividad'!$R124*'FE Sectorial'!$H127*'FE Sectorial'!K127/1000/1000</f>
        <v>2.08722E-2</v>
      </c>
      <c r="K128" s="17">
        <f>'Datos Actividad'!$R124*'FE Sectorial'!$H127*'FE Sectorial'!L127/1000/1000</f>
        <v>6.9573999999999998</v>
      </c>
      <c r="L128" s="17">
        <f>'Datos Actividad'!$R124*'FE Sectorial'!$H127*'FE Sectorial'!M127/1000/1000</f>
        <v>0.52180499999999996</v>
      </c>
      <c r="M128" s="17">
        <f>'Datos Actividad'!$R124*'FE Sectorial'!$H127*'FE Sectorial'!N127/1000/1000</f>
        <v>0.17393500000000001</v>
      </c>
      <c r="N128" s="17">
        <f>'Datos Actividad'!$R124*'FE Sectorial'!$H127*'FE Sectorial'!O127/1000/1000</f>
        <v>1.2620400000000001</v>
      </c>
      <c r="O128" s="87">
        <f>IF(D128&lt;400,H128+I128*'Factores generales'!$M$41+J128*'Factores generales'!$N$41,I128*'Factores generales'!$M$41+J128*'Factores generales'!$N$41)</f>
        <v>2560.6014959999998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Actividad'!$R125*'FE Sectorial'!$H128*'FE Sectorial'!I128*'FE Sectorial'!P128/1000</f>
        <v>23208.272889120002</v>
      </c>
      <c r="I129" s="17">
        <f>'Datos Actividad'!$R125*'FE Sectorial'!$H128*'FE Sectorial'!J128/1000/1000</f>
        <v>0.40494613500000004</v>
      </c>
      <c r="J129" s="17">
        <f>'Datos Actividad'!$R125*'FE Sectorial'!$H128*'FE Sectorial'!K128/1000/1000</f>
        <v>4.0494613500000005E-2</v>
      </c>
      <c r="K129" s="17">
        <f>'Datos Actividad'!$R125*'FE Sectorial'!$H128*'FE Sectorial'!L128/1000/1000</f>
        <v>60.74192025</v>
      </c>
      <c r="L129" s="17">
        <f>'Datos Actividad'!$R125*'FE Sectorial'!$H128*'FE Sectorial'!M128/1000/1000</f>
        <v>8.0989226999999993</v>
      </c>
      <c r="M129" s="17">
        <f>'Datos Actividad'!$R125*'FE Sectorial'!$H128*'FE Sectorial'!N128/1000/1000</f>
        <v>2.0247306749999998</v>
      </c>
      <c r="N129" s="17">
        <f>'Datos Actividad'!$R125*'FE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23229.330088140003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27423372.299084965</v>
      </c>
      <c r="I131" s="129">
        <f t="shared" si="36"/>
        <v>3274.9213052232408</v>
      </c>
      <c r="J131" s="129">
        <f t="shared" si="36"/>
        <v>215.97310560038673</v>
      </c>
      <c r="K131" s="129">
        <f t="shared" si="36"/>
        <v>180519.09825284898</v>
      </c>
      <c r="L131" s="129">
        <f t="shared" si="36"/>
        <v>281469.54966412415</v>
      </c>
      <c r="M131" s="129">
        <f t="shared" si="36"/>
        <v>34328.160045407712</v>
      </c>
      <c r="N131" s="129">
        <f t="shared" si="36"/>
        <v>8721.185173228605</v>
      </c>
      <c r="O131" s="129">
        <f t="shared" si="36"/>
        <v>27559097.309230775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3011531.0522224978</v>
      </c>
      <c r="I132" s="134">
        <f>SUM(I133:I137)</f>
        <v>61.732781237453665</v>
      </c>
      <c r="J132" s="134">
        <f t="shared" ref="J132:O132" si="37">SUM(J133:J137)</f>
        <v>7.5990300296277198</v>
      </c>
      <c r="K132" s="134">
        <f t="shared" si="37"/>
        <v>7596.5399620886383</v>
      </c>
      <c r="L132" s="134">
        <f t="shared" si="37"/>
        <v>2468.8132359903307</v>
      </c>
      <c r="M132" s="134">
        <f t="shared" si="37"/>
        <v>261.13884265785657</v>
      </c>
      <c r="N132" s="134">
        <f t="shared" si="37"/>
        <v>412.21920966962125</v>
      </c>
      <c r="O132" s="134">
        <f t="shared" si="37"/>
        <v>3015183.1399376686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Actividad'!$R129*'FE Sectorial'!$H132*'FE Sectorial'!I132*'FE Sectorial'!P132/1000</f>
        <v>0</v>
      </c>
      <c r="I133" s="17">
        <f>'Datos Actividad'!$R129*'FE Sectorial'!$H132*'FE Sectorial'!J132/1000/1000</f>
        <v>0</v>
      </c>
      <c r="J133" s="17">
        <f>'Datos Actividad'!$R129*'FE Sectorial'!$H132*'FE Sectorial'!K132/1000/1000</f>
        <v>0</v>
      </c>
      <c r="K133" s="17">
        <f>'Datos Actividad'!$R129*'FE Sectorial'!$H132*'FE Sectorial'!L132/1000/1000</f>
        <v>0</v>
      </c>
      <c r="L133" s="17">
        <f>'Datos Actividad'!$R129*'FE Sectorial'!$H132*'FE Sectorial'!M132/1000/1000</f>
        <v>0</v>
      </c>
      <c r="M133" s="17">
        <f>'Datos Actividad'!$R129*'FE Sectorial'!$H132*'FE Sectorial'!N132/1000/1000</f>
        <v>0</v>
      </c>
      <c r="N133" s="17">
        <f>'Datos Actividad'!$R129*'FE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Actividad'!$R130*'FE Sectorial'!$H133*'FE Sectorial'!I133*'FE Sectorial'!P133/1000</f>
        <v>2581991.7309093601</v>
      </c>
      <c r="I134" s="17">
        <f>'Datos Actividad'!$R130*'FE Sectorial'!$H133*'FE Sectorial'!J133/1000/1000</f>
        <v>46.256088480000003</v>
      </c>
      <c r="J134" s="17">
        <f>'Datos Actividad'!$R130*'FE Sectorial'!$H133*'FE Sectorial'!K133/1000/1000</f>
        <v>4.6256088479999997</v>
      </c>
      <c r="K134" s="17">
        <f>'Datos Actividad'!$R130*'FE Sectorial'!$H133*'FE Sectorial'!L133/1000/1000</f>
        <v>6938.4132720000007</v>
      </c>
      <c r="L134" s="17">
        <f>'Datos Actividad'!$R130*'FE Sectorial'!$H133*'FE Sectorial'!M133/1000/1000</f>
        <v>2312.8044239999999</v>
      </c>
      <c r="M134" s="17">
        <f>'Datos Actividad'!$R130*'FE Sectorial'!$H133*'FE Sectorial'!N133/1000/1000</f>
        <v>231.28044240000003</v>
      </c>
      <c r="N134" s="17">
        <f>'Datos Actividad'!$R130*'FE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2584397.0475103199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Actividad'!$R131*'FE Sectorial'!$H134*'FE Sectorial'!I134*'FE Sectorial'!P134/1000</f>
        <v>76160.56177972602</v>
      </c>
      <c r="I135" s="17">
        <f>'Datos Actividad'!$R131*'FE Sectorial'!$H134*'FE Sectorial'!J134/1000/1000</f>
        <v>1.2191736986301367</v>
      </c>
      <c r="J135" s="17">
        <f>'Datos Actividad'!$R131*'FE Sectorial'!$H134*'FE Sectorial'!K134/1000/1000</f>
        <v>0.12191736986301367</v>
      </c>
      <c r="K135" s="17">
        <f>'Datos Actividad'!$R131*'FE Sectorial'!$H134*'FE Sectorial'!L134/1000/1000</f>
        <v>182.87605479452048</v>
      </c>
      <c r="L135" s="17">
        <f>'Datos Actividad'!$R131*'FE Sectorial'!$H134*'FE Sectorial'!M134/1000/1000</f>
        <v>60.958684931506831</v>
      </c>
      <c r="M135" s="17">
        <f>'Datos Actividad'!$R131*'FE Sectorial'!$H134*'FE Sectorial'!N134/1000/1000</f>
        <v>6.0958684931506832</v>
      </c>
      <c r="N135" s="17">
        <f>'Datos Actividad'!$R131*'FE Sectorial'!$H134*'FE Sectorial'!O134/1000/1000</f>
        <v>5.1550684931506847</v>
      </c>
      <c r="O135" s="87">
        <f>IF(D135&lt;400,H135+I135*'Factores generales'!$M$41+J135*'Factores generales'!$N$41,I135*'Factores generales'!$M$41+J135*'Factores generales'!$N$41)</f>
        <v>76223.958812054785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Actividad'!$R132*'FE Sectorial'!$H135*'FE Sectorial'!I135*'FE Sectorial'!P135/1000</f>
        <v>242212.51726941174</v>
      </c>
      <c r="I136" s="17">
        <f>'Datos Actividad'!$R132*'FE Sectorial'!$H135*'FE Sectorial'!J135/1000/1000</f>
        <v>9.9052270588235292</v>
      </c>
      <c r="J136" s="17">
        <f>'Datos Actividad'!$R132*'FE Sectorial'!$H135*'FE Sectorial'!K135/1000/1000</f>
        <v>1.9810454117647056</v>
      </c>
      <c r="K136" s="17">
        <f>'Datos Actividad'!$R132*'FE Sectorial'!$H135*'FE Sectorial'!L135/1000/1000</f>
        <v>330.17423529411764</v>
      </c>
      <c r="L136" s="17">
        <f>'Datos Actividad'!$R132*'FE Sectorial'!$H135*'FE Sectorial'!M135/1000/1000</f>
        <v>66.034847058823516</v>
      </c>
      <c r="M136" s="17">
        <f>'Datos Actividad'!$R132*'FE Sectorial'!$H135*'FE Sectorial'!N135/1000/1000</f>
        <v>16.508711764705879</v>
      </c>
      <c r="N136" s="17">
        <f>'Datos Actividad'!$R132*'FE Sectorial'!$H135*'FE Sectorial'!O135/1000/1000</f>
        <v>119.7841411764706</v>
      </c>
      <c r="O136" s="87">
        <f>IF(D136&lt;400,H136+I136*'Factores generales'!$M$41+J136*'Factores generales'!$N$41,I136*'Factores generales'!$M$41+J136*'Factores generales'!$N$41)</f>
        <v>243034.65111529408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Actividad'!$R133*'FE Sectorial'!$H136*'FE Sectorial'!I136*'FE Sectorial'!P136/1000</f>
        <v>111166.24226400001</v>
      </c>
      <c r="I137" s="17">
        <f>'Datos Actividad'!$R133*'FE Sectorial'!$H136*'FE Sectorial'!J136/1000/1000</f>
        <v>4.3522920000000003</v>
      </c>
      <c r="J137" s="17">
        <f>'Datos Actividad'!$R133*'FE Sectorial'!$H136*'FE Sectorial'!K136/1000/1000</f>
        <v>0.87045839999999997</v>
      </c>
      <c r="K137" s="17">
        <f>'Datos Actividad'!$R133*'FE Sectorial'!$H136*'FE Sectorial'!L136/1000/1000</f>
        <v>145.07640000000001</v>
      </c>
      <c r="L137" s="17">
        <f>'Datos Actividad'!$R133*'FE Sectorial'!$H136*'FE Sectorial'!M136/1000/1000</f>
        <v>29.015279999999997</v>
      </c>
      <c r="M137" s="17">
        <f>'Datos Actividad'!$R133*'FE Sectorial'!$H136*'FE Sectorial'!N136/1000/1000</f>
        <v>7.2538199999999993</v>
      </c>
      <c r="N137" s="17">
        <f>'Datos Actividad'!$R133*'FE Sectorial'!$H136*'FE Sectorial'!O136/1000/1000</f>
        <v>287.27999999999997</v>
      </c>
      <c r="O137" s="87">
        <f>IF(D137&lt;400,H137+I137*'Factores generales'!$M$41+J137*'Factores generales'!$N$41,I137*'Factores generales'!$M$41+J137*'Factores generales'!$N$41)</f>
        <v>111527.48250000001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16636154.041862469</v>
      </c>
      <c r="I138" s="134">
        <f>SUM(I139:I144)</f>
        <v>2895.2035239857869</v>
      </c>
      <c r="J138" s="134">
        <f t="shared" ref="J138:O138" si="38">SUM(J139:J144)</f>
        <v>144.777075570759</v>
      </c>
      <c r="K138" s="134">
        <f t="shared" si="38"/>
        <v>45728.558290760353</v>
      </c>
      <c r="L138" s="134">
        <f t="shared" si="38"/>
        <v>173005.73642813385</v>
      </c>
      <c r="M138" s="134">
        <f t="shared" si="38"/>
        <v>12868.021202749858</v>
      </c>
      <c r="N138" s="134">
        <f t="shared" si="38"/>
        <v>4463.5659635589836</v>
      </c>
      <c r="O138" s="134">
        <f t="shared" si="38"/>
        <v>16741834.209293107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Actividad'!$R135*'FE Sectorial'!$H138*'FE Sectorial'!I138*'FE Sectorial'!P138/1000</f>
        <v>1444060.8</v>
      </c>
      <c r="I139" s="17">
        <f>'Datos Actividad'!$R135*'FE Sectorial'!$H138*'FE Sectorial'!J138/1000/1000</f>
        <v>444.6</v>
      </c>
      <c r="J139" s="17">
        <f>'Datos Actividad'!$R135*'FE Sectorial'!$H138*'FE Sectorial'!K138/1000/1000</f>
        <v>59.28</v>
      </c>
      <c r="K139" s="17">
        <f>'Datos Actividad'!$R135*'FE Sectorial'!$H138*'FE Sectorial'!L138/1000/1000</f>
        <v>1482</v>
      </c>
      <c r="L139" s="17">
        <f>'Datos Actividad'!$R135*'FE Sectorial'!$H138*'FE Sectorial'!M138/1000/1000</f>
        <v>74100</v>
      </c>
      <c r="M139" s="17">
        <f>'Datos Actividad'!$R135*'FE Sectorial'!$H138*'FE Sectorial'!N138/1000/1000</f>
        <v>8892</v>
      </c>
      <c r="N139" s="17">
        <f>'Datos Actividad'!$R135*'FE Sectorial'!$H138*'FE Sectorial'!O138/1000/1000</f>
        <v>3800</v>
      </c>
      <c r="O139" s="87">
        <f>IF(D139&lt;400,H139+I139*'Factores generales'!$M$41+J139*'Factores generales'!$N$41,I139*'Factores generales'!$M$41+J139*'Factores generales'!$N$41)</f>
        <v>27713.4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Actividad'!$R136*'FE Sectorial'!$H139*'FE Sectorial'!I139*'FE Sectorial'!P139/1000</f>
        <v>216610.98394084774</v>
      </c>
      <c r="I140" s="17">
        <f>'Datos Actividad'!$R136*'FE Sectorial'!$H139*'FE Sectorial'!J139/1000/1000</f>
        <v>74.693442738223354</v>
      </c>
      <c r="J140" s="17">
        <f>'Datos Actividad'!$R136*'FE Sectorial'!$H139*'FE Sectorial'!K139/1000/1000</f>
        <v>9.9591256984297818</v>
      </c>
      <c r="K140" s="17">
        <f>'Datos Actividad'!$R136*'FE Sectorial'!$H139*'FE Sectorial'!L139/1000/1000</f>
        <v>248.97814246074458</v>
      </c>
      <c r="L140" s="17">
        <f>'Datos Actividad'!$R136*'FE Sectorial'!$H139*'FE Sectorial'!M139/1000/1000</f>
        <v>12448.907123037228</v>
      </c>
      <c r="M140" s="17">
        <f>'Datos Actividad'!$R136*'FE Sectorial'!$H139*'FE Sectorial'!N139/1000/1000</f>
        <v>1493.8688547644674</v>
      </c>
      <c r="N140" s="17">
        <f>'Datos Actividad'!$R136*'FE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4655.8912640159233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Actividad'!$R137*'FE Sectorial'!$H140*'FE Sectorial'!I140*'FE Sectorial'!P140/1000</f>
        <v>13118532.666673897</v>
      </c>
      <c r="I141" s="17">
        <f>'Datos Actividad'!$R137*'FE Sectorial'!$H140*'FE Sectorial'!J140/1000/1000</f>
        <v>235.01702212799998</v>
      </c>
      <c r="J141" s="17">
        <f>'Datos Actividad'!$R137*'FE Sectorial'!$H140*'FE Sectorial'!K140/1000/1000</f>
        <v>23.501702212799998</v>
      </c>
      <c r="K141" s="17">
        <f>'Datos Actividad'!$R137*'FE Sectorial'!$H140*'FE Sectorial'!L140/1000/1000</f>
        <v>35252.553319199993</v>
      </c>
      <c r="L141" s="17">
        <f>'Datos Actividad'!$R137*'FE Sectorial'!$H140*'FE Sectorial'!M140/1000/1000</f>
        <v>11750.851106399999</v>
      </c>
      <c r="M141" s="17">
        <f>'Datos Actividad'!$R137*'FE Sectorial'!$H140*'FE Sectorial'!N140/1000/1000</f>
        <v>1175.0851106399998</v>
      </c>
      <c r="N141" s="17">
        <f>'Datos Actividad'!$R137*'FE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13130753.551824553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Actividad'!$R138*'FE Sectorial'!$H141*'FE Sectorial'!I141*'FE Sectorial'!P141/1000</f>
        <v>2775100.4698487674</v>
      </c>
      <c r="I142" s="17">
        <f>'Datos Actividad'!$R138*'FE Sectorial'!$H141*'FE Sectorial'!J141/1000/1000</f>
        <v>44.423641643835616</v>
      </c>
      <c r="J142" s="17">
        <f>'Datos Actividad'!$R138*'FE Sectorial'!$H141*'FE Sectorial'!K141/1000/1000</f>
        <v>4.4423641643835623</v>
      </c>
      <c r="K142" s="17">
        <f>'Datos Actividad'!$R138*'FE Sectorial'!$H141*'FE Sectorial'!L141/1000/1000</f>
        <v>6663.5462465753435</v>
      </c>
      <c r="L142" s="17">
        <f>'Datos Actividad'!$R138*'FE Sectorial'!$H141*'FE Sectorial'!M141/1000/1000</f>
        <v>2221.1820821917813</v>
      </c>
      <c r="M142" s="17">
        <f>'Datos Actividad'!$R138*'FE Sectorial'!$H141*'FE Sectorial'!N141/1000/1000</f>
        <v>222.11820821917809</v>
      </c>
      <c r="N142" s="17">
        <f>'Datos Actividad'!$R138*'FE Sectorial'!$H141*'FE Sectorial'!O141/1000/1000</f>
        <v>187.83780821917816</v>
      </c>
      <c r="O142" s="87">
        <f>IF(D142&lt;400,H142+I142*'Factores generales'!$M$41+J142*'Factores generales'!$N$41,I142*'Factores generales'!$M$41+J142*'Factores generales'!$N$41)</f>
        <v>2777410.4992142469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Actividad'!$R139*'FE Sectorial'!$H142*'FE Sectorial'!I142*'FE Sectorial'!P142/1000</f>
        <v>742520.90533980587</v>
      </c>
      <c r="I143" s="17">
        <f>'Datos Actividad'!$R139*'FE Sectorial'!$H142*'FE Sectorial'!J142/1000/1000</f>
        <v>31.469417475728154</v>
      </c>
      <c r="J143" s="17">
        <f>'Datos Actividad'!$R139*'FE Sectorial'!$H142*'FE Sectorial'!K142/1000/1000</f>
        <v>6.2938834951456313</v>
      </c>
      <c r="K143" s="17">
        <f>'Datos Actividad'!$R139*'FE Sectorial'!$H142*'FE Sectorial'!L142/1000/1000</f>
        <v>1048.980582524272</v>
      </c>
      <c r="L143" s="17">
        <f>'Datos Actividad'!$R139*'FE Sectorial'!$H142*'FE Sectorial'!M142/1000/1000</f>
        <v>209.79611650485438</v>
      </c>
      <c r="M143" s="17">
        <f>'Datos Actividad'!$R139*'FE Sectorial'!$H142*'FE Sectorial'!N142/1000/1000</f>
        <v>52.449029126213595</v>
      </c>
      <c r="N143" s="17">
        <f>'Datos Actividad'!$R139*'FE Sectorial'!$H142*'FE Sectorial'!O142/1000/1000</f>
        <v>475.72815533980582</v>
      </c>
      <c r="O143" s="87">
        <f>IF(D143&lt;400,H143+I143*'Factores generales'!$M$41+J143*'Factores generales'!$N$41,I143*'Factores generales'!$M$41+J143*'Factores generales'!$N$41)</f>
        <v>745132.86699029128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Actividad'!$R140*'FE Sectorial'!$H143*'FE Sectorial'!I143*'FE Sectorial'!P143/1000</f>
        <v>1006068</v>
      </c>
      <c r="I144" s="17">
        <f>'Datos Actividad'!$R140*'FE Sectorial'!$H143*'FE Sectorial'!J143/1000/1000</f>
        <v>2065</v>
      </c>
      <c r="J144" s="17">
        <f>'Datos Actividad'!$R140*'FE Sectorial'!$H143*'FE Sectorial'!K143/1000/1000</f>
        <v>41.3</v>
      </c>
      <c r="K144" s="17">
        <f>'Datos Actividad'!$R140*'FE Sectorial'!$H143*'FE Sectorial'!L143/1000/1000</f>
        <v>1032.5</v>
      </c>
      <c r="L144" s="17">
        <f>'Datos Actividad'!$R140*'FE Sectorial'!$H143*'FE Sectorial'!M143/1000/1000</f>
        <v>72275</v>
      </c>
      <c r="M144" s="17">
        <f>'Datos Actividad'!$R140*'FE Sectorial'!$H143*'FE Sectorial'!N143/1000/1000</f>
        <v>1032.5</v>
      </c>
      <c r="N144" s="17">
        <f>'Datos Actividad'!$R140*'FE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56168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7775687.2049999991</v>
      </c>
      <c r="I145" s="134">
        <f t="shared" ref="I145:O145" si="39">SUM(I146:I149)</f>
        <v>317.98500000000001</v>
      </c>
      <c r="J145" s="134">
        <f t="shared" si="39"/>
        <v>63.597000000000001</v>
      </c>
      <c r="K145" s="134">
        <f t="shared" si="39"/>
        <v>127194</v>
      </c>
      <c r="L145" s="134">
        <f t="shared" si="39"/>
        <v>105995</v>
      </c>
      <c r="M145" s="134">
        <f t="shared" si="39"/>
        <v>21199</v>
      </c>
      <c r="N145" s="134">
        <f t="shared" si="39"/>
        <v>3845.4</v>
      </c>
      <c r="O145" s="134">
        <f t="shared" si="39"/>
        <v>7802079.959999999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Actividad'!$R142*'FE Sectorial'!$H145*'FE Sectorial'!I145*'FE Sectorial'!P145/1000</f>
        <v>0</v>
      </c>
      <c r="I146" s="17">
        <f>'Datos Actividad'!$R142*'FE Sectorial'!$H145*'FE Sectorial'!J145/1000/1000</f>
        <v>0</v>
      </c>
      <c r="J146" s="17">
        <f>'Datos Actividad'!$R142*'FE Sectorial'!$H145*'FE Sectorial'!K145/1000/1000</f>
        <v>0</v>
      </c>
      <c r="K146" s="17">
        <f>'Datos Actividad'!$R142*'FE Sectorial'!$H145*'FE Sectorial'!L145/1000/1000</f>
        <v>0</v>
      </c>
      <c r="L146" s="17">
        <f>'Datos Actividad'!$R142*'FE Sectorial'!$H145*'FE Sectorial'!M145/1000/1000</f>
        <v>0</v>
      </c>
      <c r="M146" s="17">
        <f>'Datos Actividad'!$R142*'FE Sectorial'!$H145*'FE Sectorial'!N145/1000/1000</f>
        <v>0</v>
      </c>
      <c r="N146" s="17">
        <f>'Datos Actividad'!$R142*'FE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Actividad'!$R143*'FE Sectorial'!$H146*'FE Sectorial'!I146*'FE Sectorial'!P146/1000</f>
        <v>0</v>
      </c>
      <c r="I147" s="17">
        <f>'Datos Actividad'!$R143*'FE Sectorial'!$H146*'FE Sectorial'!J146/1000/1000</f>
        <v>0</v>
      </c>
      <c r="J147" s="17">
        <f>'Datos Actividad'!$R143*'FE Sectorial'!$H146*'FE Sectorial'!K146/1000/1000</f>
        <v>0</v>
      </c>
      <c r="K147" s="17">
        <f>'Datos Actividad'!$R143*'FE Sectorial'!$H146*'FE Sectorial'!L146/1000/1000</f>
        <v>0</v>
      </c>
      <c r="L147" s="17">
        <f>'Datos Actividad'!$R143*'FE Sectorial'!$H146*'FE Sectorial'!M146/1000/1000</f>
        <v>0</v>
      </c>
      <c r="M147" s="17">
        <f>'Datos Actividad'!$R143*'FE Sectorial'!$H146*'FE Sectorial'!N146/1000/1000</f>
        <v>0</v>
      </c>
      <c r="N147" s="17">
        <f>'Datos Actividad'!$R143*'FE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Actividad'!$R144*'FE Sectorial'!$H147*'FE Sectorial'!I147*'FE Sectorial'!P147/1000</f>
        <v>7775687.2049999991</v>
      </c>
      <c r="I148" s="17">
        <f>'Datos Actividad'!$R144*'FE Sectorial'!$H147*'FE Sectorial'!J147/1000/1000</f>
        <v>317.98500000000001</v>
      </c>
      <c r="J148" s="17">
        <f>'Datos Actividad'!$R144*'FE Sectorial'!$H147*'FE Sectorial'!K147/1000/1000</f>
        <v>63.597000000000001</v>
      </c>
      <c r="K148" s="17">
        <f>'Datos Actividad'!$R144*'FE Sectorial'!$H147*'FE Sectorial'!L147/1000/1000</f>
        <v>127194</v>
      </c>
      <c r="L148" s="17">
        <f>'Datos Actividad'!$R144*'FE Sectorial'!$H147*'FE Sectorial'!M147/1000/1000</f>
        <v>105995</v>
      </c>
      <c r="M148" s="17">
        <f>'Datos Actividad'!$R144*'FE Sectorial'!$H147*'FE Sectorial'!N147/1000/1000</f>
        <v>21199</v>
      </c>
      <c r="N148" s="17">
        <f>'Datos Actividad'!$R144*'FE Sectorial'!$H147*'FE Sectorial'!O147/1000/1000</f>
        <v>3845.4</v>
      </c>
      <c r="O148" s="87">
        <f>IF(D148&lt;400,H148+I148*'Factores generales'!$M$41+J148*'Factores generales'!$N$41,I148*'Factores generales'!$M$41+J148*'Factores generales'!$N$41)</f>
        <v>7802079.959999999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Actividad'!$R145*'FE Sectorial'!$H148*'FE Sectorial'!I148*'FE Sectorial'!P148/1000</f>
        <v>0</v>
      </c>
      <c r="I149" s="17">
        <f>'Datos Actividad'!$R145*'FE Sectorial'!$H148*'FE Sectorial'!J148/1000/1000</f>
        <v>0</v>
      </c>
      <c r="J149" s="17">
        <f>'Datos Actividad'!$R145*'FE Sectorial'!$H148*'FE Sectorial'!K148/1000/1000</f>
        <v>0</v>
      </c>
      <c r="K149" s="17">
        <f>'Datos Actividad'!$R145*'FE Sectorial'!$H148*'FE Sectorial'!L148/1000/1000</f>
        <v>0</v>
      </c>
      <c r="L149" s="17">
        <f>'Datos Actividad'!$R145*'FE Sectorial'!$H148*'FE Sectorial'!M148/1000/1000</f>
        <v>0</v>
      </c>
      <c r="M149" s="17">
        <f>'Datos Actividad'!$R145*'FE Sectorial'!$H148*'FE Sectorial'!N148/1000/1000</f>
        <v>0</v>
      </c>
      <c r="N149" s="17">
        <f>'Datos Actividad'!$R145*'FE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Actividad'!$R147*'FE Sectorial'!$H150*'FE Sectorial'!I150*'FE Sectorial'!P150/1000</f>
        <v>0</v>
      </c>
      <c r="I151" s="134">
        <f>'Datos Actividad'!$R147*'FE Sectorial'!$H150*'FE Sectorial'!J150/1000/1000</f>
        <v>0</v>
      </c>
      <c r="J151" s="134">
        <f>'Datos Actividad'!$R147*'FE Sectorial'!$H150*'FE Sectorial'!K150/1000/1000</f>
        <v>0</v>
      </c>
      <c r="K151" s="134">
        <f>'Datos Actividad'!$R147*'FE Sectorial'!$H150*'FE Sectorial'!L150/1000/1000</f>
        <v>0</v>
      </c>
      <c r="L151" s="134">
        <f>'Datos Actividad'!$R147*'FE Sectorial'!$H150*'FE Sectorial'!M150/1000/1000</f>
        <v>0</v>
      </c>
      <c r="M151" s="134">
        <f>'Datos Actividad'!$R147*'FE Sectorial'!$H150*'FE Sectorial'!N150/1000/1000</f>
        <v>0</v>
      </c>
      <c r="N151" s="134">
        <f>'Datos Actividad'!$R147*'FE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Actividad'!$R148*'FE Sectorial'!$H151*'FE Sectorial'!I151*'FE Sectorial'!P151/1000</f>
        <v>0</v>
      </c>
      <c r="I152" s="134">
        <f>'Datos Actividad'!$R148*'FE Sectorial'!$H151*'FE Sectorial'!J151/1000/1000</f>
        <v>0</v>
      </c>
      <c r="J152" s="134">
        <f>'Datos Actividad'!$R148*'FE Sectorial'!$H151*'FE Sectorial'!K151/1000/1000</f>
        <v>0</v>
      </c>
      <c r="K152" s="134">
        <f>'Datos Actividad'!$R148*'FE Sectorial'!$H151*'FE Sectorial'!L151/1000/1000</f>
        <v>0</v>
      </c>
      <c r="L152" s="134">
        <f>'Datos Actividad'!$R148*'FE Sectorial'!$H151*'FE Sectorial'!M151/1000/1000</f>
        <v>0</v>
      </c>
      <c r="M152" s="134">
        <f>'Datos Actividad'!$R148*'FE Sectorial'!$H151*'FE Sectorial'!N151/1000/1000</f>
        <v>0</v>
      </c>
      <c r="N152" s="134">
        <f>'Datos Actividad'!$R148*'FE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5092611.5764748184</v>
      </c>
      <c r="I153" s="124">
        <f t="shared" ref="I153:N153" si="41">I154+I168</f>
        <v>325821.31231891608</v>
      </c>
      <c r="J153" s="124">
        <f t="shared" si="41"/>
        <v>37.795572780414304</v>
      </c>
      <c r="K153" s="124">
        <f t="shared" si="41"/>
        <v>1602.2931102466773</v>
      </c>
      <c r="L153" s="124">
        <f t="shared" si="41"/>
        <v>2563.6593600000001</v>
      </c>
      <c r="M153" s="124">
        <f t="shared" si="41"/>
        <v>123183.80994962191</v>
      </c>
      <c r="N153" s="124">
        <f t="shared" si="41"/>
        <v>25636.5936</v>
      </c>
      <c r="O153" s="124">
        <f>IF(D153&lt;400,H153+I153*'Factores generales'!$M$41+J153*'Factores generales'!$N$41,I153*'Factores generales'!$M$41+J153*'Factores generales'!$N$41)</f>
        <v>11946575.762733985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5092611.5764748184</v>
      </c>
      <c r="I168" s="129">
        <f t="shared" ref="I168:O168" si="44">I169+I188+I204</f>
        <v>323109.720938557</v>
      </c>
      <c r="J168" s="129">
        <f t="shared" si="44"/>
        <v>37.795572780414304</v>
      </c>
      <c r="K168" s="129">
        <f t="shared" si="44"/>
        <v>1602.2931102466773</v>
      </c>
      <c r="L168" s="129">
        <f t="shared" si="44"/>
        <v>2563.6593600000001</v>
      </c>
      <c r="M168" s="129">
        <f t="shared" si="44"/>
        <v>123183.80994962191</v>
      </c>
      <c r="N168" s="129">
        <f t="shared" si="44"/>
        <v>25636.5936</v>
      </c>
      <c r="O168" s="129">
        <f t="shared" si="44"/>
        <v>11889632.343746442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30889.192260254738</v>
      </c>
      <c r="I169" s="134">
        <f t="shared" ref="I169:O169" si="45">SUM(I170:I187)</f>
        <v>15653.21075149082</v>
      </c>
      <c r="J169" s="134">
        <f t="shared" si="45"/>
        <v>0.2111388244733782</v>
      </c>
      <c r="K169" s="134">
        <f t="shared" si="45"/>
        <v>1602.2931102466773</v>
      </c>
      <c r="L169" s="134">
        <f t="shared" si="45"/>
        <v>2563.6593600000001</v>
      </c>
      <c r="M169" s="134">
        <f t="shared" si="45"/>
        <v>74312.930742367782</v>
      </c>
      <c r="N169" s="134">
        <f t="shared" si="45"/>
        <v>25636.5936</v>
      </c>
      <c r="O169" s="134">
        <f t="shared" si="45"/>
        <v>359672.07107714878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Actividad'!$R167*'FE Sectorial'!I170*1000</f>
        <v>854.73644521506151</v>
      </c>
      <c r="I171" s="92">
        <f>'Datos Actividad'!$R167*'FE Sectorial'!J170*1000</f>
        <v>18.149753125438952</v>
      </c>
      <c r="J171" s="92">
        <f>'Datos Actividad'!$R167*'FE Sectorial'!K170*1000</f>
        <v>6.2904053923415783E-3</v>
      </c>
      <c r="K171" s="92">
        <f>'Datos Actividad'!$R167*'FE Sectorial'!L170*1000</f>
        <v>0</v>
      </c>
      <c r="L171" s="92">
        <f>'Datos Actividad'!$R167*'FE Sectorial'!M170*1000</f>
        <v>0</v>
      </c>
      <c r="M171" s="92">
        <f>'Datos Actividad'!$R167*'FE Sectorial'!N170*1000</f>
        <v>2.7966856088546805</v>
      </c>
      <c r="N171" s="92">
        <f>'Datos Actividad'!$R167*'FE Sectorial'!O170*1000</f>
        <v>0</v>
      </c>
      <c r="O171" s="87">
        <f>IF(D171&lt;400,H171+I171*'Factores generales'!$M$41+J171*'Factores generales'!$N$41,I171*'Factores generales'!$M$41+J171*'Factores generales'!$N$41)</f>
        <v>1237.8312865209052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Actividad'!$R168*'FE Sectorial'!I171*1000</f>
        <v>2601.3717897849697</v>
      </c>
      <c r="I172" s="92">
        <f>'Datos Actividad'!$R168*'FE Sectorial'!J171*1000</f>
        <v>55.238379077422898</v>
      </c>
      <c r="J172" s="92">
        <f>'Datos Actividad'!$R168*'FE Sectorial'!K171*1000</f>
        <v>1.9144712063648282E-2</v>
      </c>
      <c r="K172" s="92">
        <f>'Datos Actividad'!$R168*'FE Sectorial'!L171*1000</f>
        <v>0</v>
      </c>
      <c r="L172" s="92">
        <f>'Datos Actividad'!$R168*'FE Sectorial'!M171*1000</f>
        <v>0</v>
      </c>
      <c r="M172" s="92">
        <f>'Datos Actividad'!$R168*'FE Sectorial'!N171*1000</f>
        <v>8.5116518530359819</v>
      </c>
      <c r="N172" s="92">
        <f>'Datos Actividad'!$R168*'FE Sectorial'!O171*1000</f>
        <v>0</v>
      </c>
      <c r="O172" s="87">
        <f>IF(D172&lt;400,H172+I172*'Factores generales'!$M$41+J172*'Factores generales'!$N$41,I172*'Factores generales'!$M$41+J172*'Factores generales'!$N$41)</f>
        <v>3767.3126111505812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Actividad'!$R169*'FE Sectorial'!I172*1000</f>
        <v>25233.306360914208</v>
      </c>
      <c r="I173" s="92">
        <f>'Datos Actividad'!$R169*'FE Sectorial'!J172*1000</f>
        <v>535.81227705100207</v>
      </c>
      <c r="J173" s="92">
        <f>'Datos Actividad'!$R169*'FE Sectorial'!K172*1000</f>
        <v>0.18570370701738834</v>
      </c>
      <c r="K173" s="92">
        <f>'Datos Actividad'!$R169*'FE Sectorial'!L172*1000</f>
        <v>0</v>
      </c>
      <c r="L173" s="92">
        <f>'Datos Actividad'!$R169*'FE Sectorial'!M172*1000</f>
        <v>0</v>
      </c>
      <c r="M173" s="92">
        <f>'Datos Actividad'!$R169*'FE Sectorial'!N172*1000</f>
        <v>82.563022974449041</v>
      </c>
      <c r="N173" s="92">
        <f>'Datos Actividad'!$R169*'FE Sectorial'!O172*1000</f>
        <v>0</v>
      </c>
      <c r="O173" s="87">
        <f>IF(D173&lt;400,H173+I173*'Factores generales'!$M$41+J173*'Factores generales'!$N$41,I173*'Factores generales'!$M$41+J173*'Factores generales'!$N$41)</f>
        <v>36542.932328160648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Actividad'!$R171*'FE Sectorial'!I174</f>
        <v>1011.4783699551294</v>
      </c>
      <c r="I175" s="92">
        <f>'Datos Actividad'!$R171*'FE Sectorial'!J174</f>
        <v>13952.347499999998</v>
      </c>
      <c r="J175" s="92">
        <f>'Datos Actividad'!$R171*'FE Sectorial'!K174</f>
        <v>0</v>
      </c>
      <c r="K175" s="92">
        <f>'Datos Actividad'!$R171*'FE Sectorial'!L174</f>
        <v>0</v>
      </c>
      <c r="L175" s="92">
        <f>'Datos Actividad'!$R171*'FE Sectorial'!M174</f>
        <v>0</v>
      </c>
      <c r="M175" s="92">
        <f>'Datos Actividad'!$R171*'FE Sectorial'!N174</f>
        <v>17088.06604449826</v>
      </c>
      <c r="N175" s="92">
        <f>'Datos Actividad'!$R171*'FE Sectorial'!O174</f>
        <v>0</v>
      </c>
      <c r="O175" s="87">
        <f>IF(D175&lt;400,H175+I175*'Factores generales'!$M$41+J175*'Factores generales'!$N$41,I175*'Factores generales'!$M$41+J175*'Factores generales'!$N$41)</f>
        <v>294010.77586995513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Actividad'!$R173*'FE Sectorial'!I176</f>
        <v>0</v>
      </c>
      <c r="I177" s="92">
        <f>'Datos Actividad'!$R173*'FE Sectorial'!J176</f>
        <v>524.7526052385615</v>
      </c>
      <c r="J177" s="92">
        <f>'Datos Actividad'!$R173*'FE Sectorial'!K176</f>
        <v>0</v>
      </c>
      <c r="K177" s="92">
        <f>'Datos Actividad'!$R173*'FE Sectorial'!L176</f>
        <v>0</v>
      </c>
      <c r="L177" s="92">
        <f>'Datos Actividad'!$R173*'FE Sectorial'!M176</f>
        <v>0</v>
      </c>
      <c r="M177" s="92">
        <f>'Datos Actividad'!$R173*'FE Sectorial'!N176</f>
        <v>0</v>
      </c>
      <c r="N177" s="92">
        <f>'Datos Actividad'!$R173*'FE Sectorial'!O176</f>
        <v>0</v>
      </c>
      <c r="O177" s="87">
        <f>IF(D177&lt;400,H177+I177*'Factores generales'!$M$41+J177*'Factores generales'!$N$41,I177*'Factores generales'!$M$41+J177*'Factores generales'!$N$41)</f>
        <v>11019.804710009792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Actividad'!$R174*'FE Sectorial'!I177</f>
        <v>13.56926198823701</v>
      </c>
      <c r="I178" s="92">
        <f>'Datos Actividad'!$R174*'FE Sectorial'!J177</f>
        <v>149.53880558465278</v>
      </c>
      <c r="J178" s="92">
        <f>'Datos Actividad'!$R174*'FE Sectorial'!K177</f>
        <v>0</v>
      </c>
      <c r="K178" s="92">
        <f>'Datos Actividad'!$R174*'FE Sectorial'!L177</f>
        <v>0</v>
      </c>
      <c r="L178" s="92">
        <f>'Datos Actividad'!$R174*'FE Sectorial'!M177</f>
        <v>0</v>
      </c>
      <c r="M178" s="92">
        <f>'Datos Actividad'!$R174*'FE Sectorial'!N177</f>
        <v>1495.3880558465278</v>
      </c>
      <c r="N178" s="92">
        <f>'Datos Actividad'!$R174*'FE Sectorial'!O177</f>
        <v>0</v>
      </c>
      <c r="O178" s="87">
        <f>IF(D178&lt;400,H178+I178*'Factores generales'!$M$41+J178*'Factores generales'!$N$41,I178*'Factores generales'!$M$41+J178*'Factores generales'!$N$41)</f>
        <v>3153.8841792659455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Actividad'!$R177*'FE Sectorial'!I180</f>
        <v>0</v>
      </c>
      <c r="I181" s="92">
        <f>'Datos Actividad'!$R177*'FE Sectorial'!J180</f>
        <v>330.86355686783958</v>
      </c>
      <c r="J181" s="92">
        <f>'Datos Actividad'!$R177*'FE Sectorial'!K180</f>
        <v>0</v>
      </c>
      <c r="K181" s="92">
        <f>'Datos Actividad'!$R177*'FE Sectorial'!L180</f>
        <v>1602.2871</v>
      </c>
      <c r="L181" s="92">
        <f>'Datos Actividad'!$R177*'FE Sectorial'!M180</f>
        <v>2563.6593600000001</v>
      </c>
      <c r="M181" s="92">
        <f>'Datos Actividad'!$R177*'FE Sectorial'!N180</f>
        <v>41659.464599999999</v>
      </c>
      <c r="N181" s="92">
        <f>'Datos Actividad'!$R177*'FE Sectorial'!O180</f>
        <v>25636.5936</v>
      </c>
      <c r="O181" s="87">
        <f>IF(D181&lt;400,H181+I181*'Factores generales'!$M$41+J181*'Factores generales'!$N$41,I181*'Factores generales'!$M$41+J181*'Factores generales'!$N$41)</f>
        <v>6948.1346942246309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Actividad'!$R179*'FE Sectorial'!I182</f>
        <v>0</v>
      </c>
      <c r="I183" s="92">
        <f>'Datos Actividad'!$R179*'FE Sectorial'!J182</f>
        <v>86.507874545903192</v>
      </c>
      <c r="J183" s="92">
        <f>'Datos Actividad'!$R179*'FE Sectorial'!K182</f>
        <v>0</v>
      </c>
      <c r="K183" s="92">
        <f>'Datos Actividad'!$R179*'FE Sectorial'!L182</f>
        <v>0</v>
      </c>
      <c r="L183" s="92">
        <f>'Datos Actividad'!$R179*'FE Sectorial'!M182</f>
        <v>0</v>
      </c>
      <c r="M183" s="92">
        <f>'Datos Actividad'!$R179*'FE Sectorial'!N182</f>
        <v>0</v>
      </c>
      <c r="N183" s="92">
        <f>'Datos Actividad'!$R179*'FE Sectorial'!O182</f>
        <v>0</v>
      </c>
      <c r="O183" s="87">
        <f>IF(D183&lt;400,H183+I183*'Factores generales'!$M$41+J183*'Factores generales'!$N$41,I183*'Factores generales'!$M$41+J183*'Factores generales'!$N$41)</f>
        <v>1816.665365463967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Actividad'!$R181*'FE Sectorial'!I184</f>
        <v>0</v>
      </c>
      <c r="I185" s="92">
        <f>'Datos Actividad'!$R181*'FE Sectorial'!J184</f>
        <v>0</v>
      </c>
      <c r="J185" s="92">
        <f>'Datos Actividad'!$R181*'FE Sectorial'!K184</f>
        <v>0</v>
      </c>
      <c r="K185" s="92">
        <f>'Datos Actividad'!$R181*'FE Sectorial'!L184</f>
        <v>0</v>
      </c>
      <c r="L185" s="92">
        <f>'Datos Actividad'!$R181*'FE Sectorial'!M184</f>
        <v>0</v>
      </c>
      <c r="M185" s="92">
        <f>'Datos Actividad'!$R181*'FE Sectorial'!N184</f>
        <v>13976.140681586648</v>
      </c>
      <c r="N185" s="92">
        <f>'Datos Actividad'!$R181*'FE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Actividad'!$R182*'FE Sectorial'!I185</f>
        <v>1174.7300323971326</v>
      </c>
      <c r="I186" s="92">
        <f>'Datos Actividad'!$R182*'FE Sectorial'!J185</f>
        <v>0</v>
      </c>
      <c r="J186" s="92">
        <f>'Datos Actividad'!$R182*'FE Sectorial'!K185</f>
        <v>0</v>
      </c>
      <c r="K186" s="92">
        <f>'Datos Actividad'!$R182*'FE Sectorial'!L185</f>
        <v>6.0102466773806797E-3</v>
      </c>
      <c r="L186" s="92">
        <f>'Datos Actividad'!$R182*'FE Sectorial'!M185</f>
        <v>0</v>
      </c>
      <c r="M186" s="92">
        <f>'Datos Actividad'!$R182*'FE Sectorial'!N185</f>
        <v>0</v>
      </c>
      <c r="N186" s="92">
        <f>'Datos Actividad'!$R182*'FE Sectorial'!O185</f>
        <v>0</v>
      </c>
      <c r="O186" s="87">
        <f>IF(D186&lt;400,H186+I186*'Factores generales'!$M$41+J186*'Factores generales'!$N$41,I186*'Factores generales'!$M$41+J186*'Factores generales'!$N$41)</f>
        <v>1174.7300323971326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5041.4194881039784</v>
      </c>
      <c r="I188" s="134">
        <f t="shared" ref="I188:O188" si="46">SUM(I189:I203)</f>
        <v>260805.66843780119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23955.129933920147</v>
      </c>
      <c r="N188" s="134">
        <f t="shared" si="46"/>
        <v>0</v>
      </c>
      <c r="O188" s="134">
        <f t="shared" si="46"/>
        <v>5481960.4566819286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Actividad'!$R187*'FE Sectorial'!I190</f>
        <v>2129.7421933512533</v>
      </c>
      <c r="I191" s="92">
        <f>'Datos Actividad'!$R187*'FE Sectorial'!J190</f>
        <v>128122.1399347562</v>
      </c>
      <c r="J191" s="92">
        <f>'Datos Actividad'!$R187*'FE Sectorial'!K190</f>
        <v>0</v>
      </c>
      <c r="K191" s="92">
        <f>'Datos Actividad'!$R187*'FE Sectorial'!L190</f>
        <v>0</v>
      </c>
      <c r="L191" s="92">
        <f>'Datos Actividad'!$R187*'FE Sectorial'!M190</f>
        <v>0</v>
      </c>
      <c r="M191" s="92">
        <f>'Datos Actividad'!$R187*'FE Sectorial'!N190</f>
        <v>14019.679446148533</v>
      </c>
      <c r="N191" s="92">
        <f>'Datos Actividad'!$R187*'FE Sectorial'!O190</f>
        <v>0</v>
      </c>
      <c r="O191" s="87">
        <f>IF(D191&lt;400,H191+I191*'Factores generales'!$M$41+J191*'Factores generales'!$N$41,I191*'Factores generales'!$M$41+J191*'Factores generales'!$N$41)</f>
        <v>2692694.6808232311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Actividad'!$R189*'FE Sectorial'!I192</f>
        <v>777.67189397934033</v>
      </c>
      <c r="I193" s="92">
        <f>'Datos Actividad'!$R189*'FE Sectorial'!J192</f>
        <v>9720.8986747417548</v>
      </c>
      <c r="J193" s="92">
        <f>'Datos Actividad'!$R189*'FE Sectorial'!K192</f>
        <v>0</v>
      </c>
      <c r="K193" s="92">
        <f>'Datos Actividad'!$R189*'FE Sectorial'!L192</f>
        <v>0</v>
      </c>
      <c r="L193" s="92">
        <f>'Datos Actividad'!$R189*'FE Sectorial'!M192</f>
        <v>0</v>
      </c>
      <c r="M193" s="92">
        <f>'Datos Actividad'!$R189*'FE Sectorial'!N192</f>
        <v>8979.7815466035645</v>
      </c>
      <c r="N193" s="92">
        <f>'Datos Actividad'!$R189*'FE Sectorial'!O192</f>
        <v>0</v>
      </c>
      <c r="O193" s="87">
        <f>IF(D193&lt;400,H193+I193*'Factores generales'!$M$41+J193*'Factores generales'!$N$41,I193*'Factores generales'!$M$41+J193*'Factores generales'!$N$41)</f>
        <v>204916.54406355618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Actividad'!$R192*'FE Sectorial'!I195</f>
        <v>48.842165412446846</v>
      </c>
      <c r="I196" s="92">
        <f>'Datos Actividad'!$R192*'FE Sectorial'!J195</f>
        <v>15196.871331646749</v>
      </c>
      <c r="J196" s="92">
        <f>'Datos Actividad'!$R192*'FE Sectorial'!K195</f>
        <v>0</v>
      </c>
      <c r="K196" s="92">
        <f>'Datos Actividad'!$R192*'FE Sectorial'!L195</f>
        <v>0</v>
      </c>
      <c r="L196" s="92">
        <f>'Datos Actividad'!$R192*'FE Sectorial'!M195</f>
        <v>0</v>
      </c>
      <c r="M196" s="92">
        <f>'Datos Actividad'!$R192*'FE Sectorial'!N195</f>
        <v>363.42286116804945</v>
      </c>
      <c r="N196" s="92">
        <f>'Datos Actividad'!$R192*'FE Sectorial'!O195</f>
        <v>0</v>
      </c>
      <c r="O196" s="87">
        <f>IF(D196&lt;400,H196+I196*'Factores generales'!$M$41+J196*'Factores generales'!$N$41,I196*'Factores generales'!$M$41+J196*'Factores generales'!$N$41)</f>
        <v>319183.14012999419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Actividad'!$R194*'FE Sectorial'!I197</f>
        <v>2085.1632353609384</v>
      </c>
      <c r="I198" s="92">
        <f>'Datos Actividad'!$R194*'FE Sectorial'!J197</f>
        <v>40922.042310808494</v>
      </c>
      <c r="J198" s="92">
        <f>'Datos Actividad'!$R194*'FE Sectorial'!K197</f>
        <v>0</v>
      </c>
      <c r="K198" s="92">
        <f>'Datos Actividad'!$R194*'FE Sectorial'!L197</f>
        <v>0</v>
      </c>
      <c r="L198" s="92">
        <f>'Datos Actividad'!$R194*'FE Sectorial'!M197</f>
        <v>0</v>
      </c>
      <c r="M198" s="92">
        <f>'Datos Actividad'!$R194*'FE Sectorial'!N197</f>
        <v>592.24608000000012</v>
      </c>
      <c r="N198" s="92">
        <f>'Datos Actividad'!$R194*'FE Sectorial'!O197</f>
        <v>0</v>
      </c>
      <c r="O198" s="87">
        <f>IF(D198&lt;400,H198+I198*'Factores generales'!$M$41+J198*'Factores generales'!$N$41,I198*'Factores generales'!$M$41+J198*'Factores generales'!$N$41)</f>
        <v>861448.05176233943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Actividad'!$R197*'FE Sectorial'!I200</f>
        <v>0</v>
      </c>
      <c r="I201" s="92">
        <f>'Datos Actividad'!$R197*'FE Sectorial'!J200</f>
        <v>54608.3358744</v>
      </c>
      <c r="J201" s="92">
        <f>'Datos Actividad'!$R197*'FE Sectorial'!K200</f>
        <v>0</v>
      </c>
      <c r="K201" s="92">
        <f>'Datos Actividad'!$R197*'FE Sectorial'!L200</f>
        <v>0</v>
      </c>
      <c r="L201" s="92">
        <f>'Datos Actividad'!$R197*'FE Sectorial'!M200</f>
        <v>0</v>
      </c>
      <c r="M201" s="92">
        <f>'Datos Actividad'!$R197*'FE Sectorial'!N200</f>
        <v>0</v>
      </c>
      <c r="N201" s="92">
        <f>'Datos Actividad'!$R197*'FE Sectorial'!O200</f>
        <v>0</v>
      </c>
      <c r="O201" s="87">
        <f>IF(D201&lt;400,H201+I201*'Factores generales'!$M$41+J201*'Factores generales'!$N$41,I201*'Factores generales'!$M$41+J201*'Factores generales'!$N$41)</f>
        <v>1146775.0533624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Actividad'!$R199*'FE Sectorial'!I202</f>
        <v>0</v>
      </c>
      <c r="I203" s="92">
        <f>'Datos Actividad'!$R199*'FE Sectorial'!J202</f>
        <v>12235.380311448</v>
      </c>
      <c r="J203" s="92">
        <f>'Datos Actividad'!$R199*'FE Sectorial'!K202</f>
        <v>0</v>
      </c>
      <c r="K203" s="92">
        <f>'Datos Actividad'!$R199*'FE Sectorial'!L202</f>
        <v>0</v>
      </c>
      <c r="L203" s="92">
        <f>'Datos Actividad'!$R199*'FE Sectorial'!M202</f>
        <v>0</v>
      </c>
      <c r="M203" s="92">
        <f>'Datos Actividad'!$R199*'FE Sectorial'!N202</f>
        <v>0</v>
      </c>
      <c r="N203" s="92">
        <f>'Datos Actividad'!$R199*'FE Sectorial'!O202</f>
        <v>0</v>
      </c>
      <c r="O203" s="87">
        <f>IF(D203&lt;400,H203+I203*'Factores generales'!$M$41+J203*'Factores generales'!$N$41,I203*'Factores generales'!$M$41+J203*'Factores generales'!$N$41)</f>
        <v>256942.98654040799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5056680.9647264592</v>
      </c>
      <c r="I204" s="134">
        <f t="shared" ref="I204:O204" si="47">SUM(I205:I221)</f>
        <v>46650.841749264975</v>
      </c>
      <c r="J204" s="134">
        <f t="shared" si="47"/>
        <v>37.584433955940924</v>
      </c>
      <c r="K204" s="134">
        <f t="shared" si="47"/>
        <v>0</v>
      </c>
      <c r="L204" s="134">
        <f t="shared" si="47"/>
        <v>0</v>
      </c>
      <c r="M204" s="134">
        <f t="shared" si="47"/>
        <v>24915.749273333968</v>
      </c>
      <c r="N204" s="134">
        <f t="shared" si="47"/>
        <v>0</v>
      </c>
      <c r="O204" s="134">
        <f t="shared" si="47"/>
        <v>6047999.8159873663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Actividad'!$R203*'FE Sectorial'!I206</f>
        <v>5168.4403508165033</v>
      </c>
      <c r="I207" s="92">
        <f>'Datos Actividad'!$R203*'FE Sectorial'!J206</f>
        <v>39265.386360319819</v>
      </c>
      <c r="J207" s="92">
        <f>'Datos Actividad'!$R203*'FE Sectorial'!K206</f>
        <v>0</v>
      </c>
      <c r="K207" s="92">
        <f>'Datos Actividad'!$R203*'FE Sectorial'!L206</f>
        <v>0</v>
      </c>
      <c r="L207" s="92">
        <f>'Datos Actividad'!$R203*'FE Sectorial'!M206</f>
        <v>0</v>
      </c>
      <c r="M207" s="92">
        <f>'Datos Actividad'!$R203*'FE Sectorial'!N206</f>
        <v>23425.359428762444</v>
      </c>
      <c r="N207" s="92">
        <f>'Datos Actividad'!$R203*'FE Sectorial'!O206</f>
        <v>0</v>
      </c>
      <c r="O207" s="87">
        <f>IF(D207&lt;400,H207+I207*'Factores generales'!$M$41+J207*'Factores generales'!$N$41,I207*'Factores generales'!$M$41+J207*'Factores generales'!$N$41)</f>
        <v>829741.55391753267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Actividad'!$R205*'FE Sectorial'!I208</f>
        <v>2228496.5777818714</v>
      </c>
      <c r="I209" s="92">
        <f>'Datos Actividad'!$R205*'FE Sectorial'!J208</f>
        <v>1355.9244515444184</v>
      </c>
      <c r="J209" s="92">
        <f>'Datos Actividad'!$R205*'FE Sectorial'!K208</f>
        <v>34.902565653617614</v>
      </c>
      <c r="K209" s="92">
        <f>'Datos Actividad'!$R205*'FE Sectorial'!L208</f>
        <v>0</v>
      </c>
      <c r="L209" s="92">
        <f>'Datos Actividad'!$R205*'FE Sectorial'!M208</f>
        <v>0</v>
      </c>
      <c r="M209" s="92">
        <f>'Datos Actividad'!$R205*'FE Sectorial'!N208</f>
        <v>1147.7166339364655</v>
      </c>
      <c r="N209" s="92">
        <f>'Datos Actividad'!$R205*'FE Sectorial'!O208</f>
        <v>0</v>
      </c>
      <c r="O209" s="87">
        <f>IF(D209&lt;400,H209+I209*'Factores generales'!$M$41+J209*'Factores generales'!$N$41,I209*'Factores generales'!$M$41+J209*'Factores generales'!$N$41)</f>
        <v>2267790.7866169256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Actividad'!$R209*'FE Sectorial'!I212</f>
        <v>2615282.2299468024</v>
      </c>
      <c r="I213" s="92">
        <f>'Datos Actividad'!$R209*'FE Sectorial'!J212</f>
        <v>0</v>
      </c>
      <c r="J213" s="92">
        <f>'Datos Actividad'!$R209*'FE Sectorial'!K212</f>
        <v>0</v>
      </c>
      <c r="K213" s="92">
        <f>'Datos Actividad'!$R209*'FE Sectorial'!L212</f>
        <v>0</v>
      </c>
      <c r="L213" s="92">
        <f>'Datos Actividad'!$R209*'FE Sectorial'!M212</f>
        <v>0</v>
      </c>
      <c r="M213" s="92">
        <f>'Datos Actividad'!$R209*'FE Sectorial'!N212</f>
        <v>0</v>
      </c>
      <c r="N213" s="92">
        <f>'Datos Actividad'!$R209*'FE Sectorial'!O212</f>
        <v>0</v>
      </c>
      <c r="O213" s="87">
        <f>IF(D213&lt;400,H213+I213*'Factores generales'!$M$41+J213*'Factores generales'!$N$41,I213*'Factores generales'!$M$41+J213*'Factores generales'!$N$41)</f>
        <v>2615282.2299468024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Actividad'!$R211*'FE Sectorial'!I214</f>
        <v>155.3365818658414</v>
      </c>
      <c r="I215" s="92">
        <f>'Datos Actividad'!$R211*'FE Sectorial'!J214</f>
        <v>5892.1482516039832</v>
      </c>
      <c r="J215" s="92">
        <f>'Datos Actividad'!$R211*'FE Sectorial'!K214</f>
        <v>0</v>
      </c>
      <c r="K215" s="92">
        <f>'Datos Actividad'!$R211*'FE Sectorial'!L214</f>
        <v>0</v>
      </c>
      <c r="L215" s="92">
        <f>'Datos Actividad'!$R211*'FE Sectorial'!M214</f>
        <v>0</v>
      </c>
      <c r="M215" s="92">
        <f>'Datos Actividad'!$R211*'FE Sectorial'!N214</f>
        <v>232.27727684849233</v>
      </c>
      <c r="N215" s="92">
        <f>'Datos Actividad'!$R211*'FE Sectorial'!O214</f>
        <v>0</v>
      </c>
      <c r="O215" s="87">
        <f>IF(D215&lt;400,H215+I215*'Factores generales'!$M$41+J215*'Factores generales'!$N$41,I215*'Factores generales'!$M$41+J215*'Factores generales'!$N$41)</f>
        <v>123890.44986554948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Actividad'!$R214*'FE Sectorial'!I217</f>
        <v>58786.469516397803</v>
      </c>
      <c r="I218" s="92">
        <f>'Datos Actividad'!$R214*'FE Sectorial'!J217</f>
        <v>36.985675990241198</v>
      </c>
      <c r="J218" s="92">
        <f>'Datos Actividad'!$R214*'FE Sectorial'!K217</f>
        <v>1.0469728287387949</v>
      </c>
      <c r="K218" s="92">
        <f>'Datos Actividad'!$R214*'FE Sectorial'!L217</f>
        <v>0</v>
      </c>
      <c r="L218" s="92">
        <f>'Datos Actividad'!$R214*'FE Sectorial'!M217</f>
        <v>0</v>
      </c>
      <c r="M218" s="92">
        <f>'Datos Actividad'!$R214*'FE Sectorial'!N217</f>
        <v>30.798677782535094</v>
      </c>
      <c r="N218" s="92">
        <f>'Datos Actividad'!$R214*'FE Sectorial'!O217</f>
        <v>0</v>
      </c>
      <c r="O218" s="87">
        <f>IF(D218&lt;400,H218+I218*'Factores generales'!$M$41+J218*'Factores generales'!$N$41,I218*'Factores generales'!$M$41+J218*'Factores generales'!$N$41)</f>
        <v>59887.730289101899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Actividad'!$R216*'FE Sectorial'!I219</f>
        <v>148791.91054870532</v>
      </c>
      <c r="I220" s="92">
        <f>'Datos Actividad'!$R216*'FE Sectorial'!J219</f>
        <v>100.39700980651882</v>
      </c>
      <c r="J220" s="92">
        <f>'Datos Actividad'!$R216*'FE Sectorial'!K219</f>
        <v>1.6348954735845176</v>
      </c>
      <c r="K220" s="92">
        <f>'Datos Actividad'!$R216*'FE Sectorial'!L219</f>
        <v>0</v>
      </c>
      <c r="L220" s="92">
        <f>'Datos Actividad'!$R216*'FE Sectorial'!M219</f>
        <v>0</v>
      </c>
      <c r="M220" s="92">
        <f>'Datos Actividad'!$R216*'FE Sectorial'!N219</f>
        <v>79.597256004029475</v>
      </c>
      <c r="N220" s="92">
        <f>'Datos Actividad'!$R216*'FE Sectorial'!O219</f>
        <v>0</v>
      </c>
      <c r="O220" s="87">
        <f>IF(D220&lt;400,H220+I220*'Factores generales'!$M$41+J220*'Factores generales'!$N$41,I220*'Factores generales'!$M$41+J220*'Factores generales'!$N$41)</f>
        <v>151407.06535145341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10792616.492953364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4457196.0063346019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2742424.4687905619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1714771.53754404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126035126.14137352</v>
      </c>
      <c r="I5" s="138">
        <f t="shared" si="0"/>
        <v>321368.62974016345</v>
      </c>
      <c r="J5" s="138">
        <f t="shared" si="0"/>
        <v>3839.2163868877124</v>
      </c>
      <c r="K5" s="138">
        <f t="shared" si="0"/>
        <v>737747.31624486612</v>
      </c>
      <c r="L5" s="138">
        <f t="shared" si="0"/>
        <v>2479010.2587979189</v>
      </c>
      <c r="M5" s="138">
        <f t="shared" si="0"/>
        <v>514300.45303263533</v>
      </c>
      <c r="N5" s="138">
        <f t="shared" si="0"/>
        <v>76357.692013847787</v>
      </c>
      <c r="O5" s="138">
        <f t="shared" si="0"/>
        <v>134069620.30985214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121069490.78825139</v>
      </c>
      <c r="I6" s="124">
        <f t="shared" si="1"/>
        <v>16829.827437961078</v>
      </c>
      <c r="J6" s="124">
        <f t="shared" si="1"/>
        <v>3799.6861855371994</v>
      </c>
      <c r="K6" s="124">
        <f t="shared" si="1"/>
        <v>736170.974635622</v>
      </c>
      <c r="L6" s="124">
        <f t="shared" si="1"/>
        <v>2476488.1219979189</v>
      </c>
      <c r="M6" s="124">
        <f t="shared" si="1"/>
        <v>389840.02568732179</v>
      </c>
      <c r="N6" s="124">
        <f t="shared" si="1"/>
        <v>51136.324013847785</v>
      </c>
      <c r="O6" s="124">
        <f t="shared" si="1"/>
        <v>122696415.74596509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31865289.665476322</v>
      </c>
      <c r="I7" s="129">
        <f t="shared" si="2"/>
        <v>661.6194372592862</v>
      </c>
      <c r="J7" s="129">
        <f t="shared" si="2"/>
        <v>106.58335744303994</v>
      </c>
      <c r="K7" s="129">
        <f t="shared" si="2"/>
        <v>85998.427357265071</v>
      </c>
      <c r="L7" s="129">
        <f t="shared" si="2"/>
        <v>10429.231020671657</v>
      </c>
      <c r="M7" s="129">
        <f t="shared" si="2"/>
        <v>2685.1732475155272</v>
      </c>
      <c r="N7" s="129">
        <f t="shared" si="2"/>
        <v>23082.808001623282</v>
      </c>
      <c r="O7" s="129">
        <f t="shared" si="2"/>
        <v>31912224.514466107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20599261.796085723</v>
      </c>
      <c r="I8" s="134">
        <f t="shared" si="3"/>
        <v>426.55546595999999</v>
      </c>
      <c r="J8" s="134">
        <f t="shared" si="3"/>
        <v>69.997050995999999</v>
      </c>
      <c r="K8" s="134">
        <f t="shared" si="3"/>
        <v>55733.306943999996</v>
      </c>
      <c r="L8" s="134">
        <f t="shared" si="3"/>
        <v>6748.0562291999995</v>
      </c>
      <c r="M8" s="134">
        <f t="shared" si="3"/>
        <v>1736.5433097999999</v>
      </c>
      <c r="N8" s="134">
        <f t="shared" si="3"/>
        <v>17475.453580000001</v>
      </c>
      <c r="O8" s="134">
        <f t="shared" si="3"/>
        <v>20629918.546679638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20599261.796085723</v>
      </c>
      <c r="I9" s="93">
        <f t="shared" ref="I9:O9" si="4">I10+I11+I12+I13+I14</f>
        <v>426.55546595999999</v>
      </c>
      <c r="J9" s="93">
        <f t="shared" si="4"/>
        <v>69.997050995999999</v>
      </c>
      <c r="K9" s="93">
        <f t="shared" si="4"/>
        <v>55733.306943999996</v>
      </c>
      <c r="L9" s="93">
        <f t="shared" si="4"/>
        <v>6748.0562291999995</v>
      </c>
      <c r="M9" s="93">
        <f t="shared" si="4"/>
        <v>1736.5433097999999</v>
      </c>
      <c r="N9" s="93">
        <f t="shared" si="4"/>
        <v>17475.453580000001</v>
      </c>
      <c r="O9" s="93">
        <f t="shared" si="4"/>
        <v>20629918.546679638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Actividad'!$S6*'FE Sectorial'!$H9*'FE Sectorial'!I9*'FE Sectorial'!$P9/1000</f>
        <v>1023395.917236</v>
      </c>
      <c r="I10" s="92">
        <f>'Datos Actividad'!$S6*'FE Sectorial'!$H9*'FE Sectorial'!J9/1000/1000</f>
        <v>11.038917</v>
      </c>
      <c r="J10" s="92">
        <f>'Datos Actividad'!$S6*'FE Sectorial'!$H9*'FE Sectorial'!K9/1000/1000</f>
        <v>16.5583755</v>
      </c>
      <c r="K10" s="92">
        <f>'Datos Actividad'!$S6*'FE Sectorial'!$H9*'FE Sectorial'!L9/1000/1000</f>
        <v>3311.6750999999999</v>
      </c>
      <c r="L10" s="92">
        <f>'Datos Actividad'!$S6*'FE Sectorial'!$H9*'FE Sectorial'!M9/1000/1000</f>
        <v>220.77833999999999</v>
      </c>
      <c r="M10" s="92">
        <f>'Datos Actividad'!$S6*'FE Sectorial'!$H9*'FE Sectorial'!N9/1000/1000</f>
        <v>55.194584999999996</v>
      </c>
      <c r="N10" s="92">
        <f>'Datos Actividad'!$S6*'FE Sectorial'!$H9*'FE Sectorial'!O9/1000/1000</f>
        <v>10568.2655</v>
      </c>
      <c r="O10" s="92">
        <f>IF(D10&lt;400,H10+I10*'Factores generales'!$M$41+J10*'Factores generales'!$N$41,I10*'Factores generales'!$M$41+J10*'Factores generales'!$N$41)</f>
        <v>1028760.8308979999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Actividad'!$S7*'FE Sectorial'!$H10*'FE Sectorial'!I10*'FE Sectorial'!$P10/1000</f>
        <v>425905.77486599999</v>
      </c>
      <c r="I11" s="17">
        <f>'Datos Actividad'!$S7*'FE Sectorial'!$H10*'FE Sectorial'!J10/1000/1000</f>
        <v>17.417321999999999</v>
      </c>
      <c r="J11" s="17">
        <f>'Datos Actividad'!$S7*'FE Sectorial'!$H10*'FE Sectorial'!K10/1000/1000</f>
        <v>3.4834643999999999</v>
      </c>
      <c r="K11" s="17">
        <f>'Datos Actividad'!$S7*'FE Sectorial'!$H10*'FE Sectorial'!L10/1000/1000</f>
        <v>1161.1548</v>
      </c>
      <c r="L11" s="17">
        <f>'Datos Actividad'!$S7*'FE Sectorial'!$H10*'FE Sectorial'!M10/1000/1000</f>
        <v>87.086610000000007</v>
      </c>
      <c r="M11" s="17">
        <f>'Datos Actividad'!$S7*'FE Sectorial'!$H10*'FE Sectorial'!N10/1000/1000</f>
        <v>29.028869999999998</v>
      </c>
      <c r="N11" s="17">
        <f>'Datos Actividad'!$S7*'FE Sectorial'!$H10*'FE Sectorial'!O10/1000/1000</f>
        <v>210.62807999999998</v>
      </c>
      <c r="O11" s="17">
        <f>IF(D11&lt;400,H11+I11*'Factores generales'!$M$41+J11*'Factores generales'!$N$41,I11*'Factores generales'!$M$41+J11*'Factores generales'!$N$41)</f>
        <v>427351.41259200004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Actividad'!$S8*'FE Sectorial'!$H11*'FE Sectorial'!I11*'FE Sectorial'!$P11/1000</f>
        <v>2591309.5631280001</v>
      </c>
      <c r="I12" s="92">
        <f>'Datos Actividad'!$S8*'FE Sectorial'!$H11*'FE Sectorial'!J11/1000/1000</f>
        <v>101.45288400000001</v>
      </c>
      <c r="J12" s="92">
        <f>'Datos Actividad'!$S8*'FE Sectorial'!$H11*'FE Sectorial'!K11/1000/1000</f>
        <v>20.290576800000004</v>
      </c>
      <c r="K12" s="92">
        <f>'Datos Actividad'!$S8*'FE Sectorial'!$H11*'FE Sectorial'!L11/1000/1000</f>
        <v>6763.5255999999999</v>
      </c>
      <c r="L12" s="92">
        <f>'Datos Actividad'!$S8*'FE Sectorial'!$H11*'FE Sectorial'!M11/1000/1000</f>
        <v>507.26441999999997</v>
      </c>
      <c r="M12" s="92">
        <f>'Datos Actividad'!$S8*'FE Sectorial'!$H11*'FE Sectorial'!N11/1000/1000</f>
        <v>169.08814000000001</v>
      </c>
      <c r="N12" s="92">
        <f>'Datos Actividad'!$S8*'FE Sectorial'!$H11*'FE Sectorial'!O11/1000/1000</f>
        <v>6696.56</v>
      </c>
      <c r="O12" s="92">
        <f>IF(D12&lt;400,H12+I12*'Factores generales'!$M$41+J12*'Factores generales'!$N$41,I12*'Factores generales'!$M$41+J12*'Factores generales'!$N$41)</f>
        <v>2599730.1524999999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Actividad'!$S9*'FE Sectorial'!$H12*'FE Sectorial'!I12*'FE Sectorial'!$P12/1000</f>
        <v>16558650.540855721</v>
      </c>
      <c r="I13" s="17">
        <f>'Datos Actividad'!$S9*'FE Sectorial'!$H12*'FE Sectorial'!J12/1000/1000</f>
        <v>296.64634295999997</v>
      </c>
      <c r="J13" s="17">
        <f>'Datos Actividad'!$S9*'FE Sectorial'!$H12*'FE Sectorial'!K12/1000/1000</f>
        <v>29.664634295999999</v>
      </c>
      <c r="K13" s="17">
        <f>'Datos Actividad'!$S9*'FE Sectorial'!$H12*'FE Sectorial'!L12/1000/1000</f>
        <v>44496.951443999998</v>
      </c>
      <c r="L13" s="17">
        <f>'Datos Actividad'!$S9*'FE Sectorial'!$H12*'FE Sectorial'!M12/1000/1000</f>
        <v>5932.9268591999999</v>
      </c>
      <c r="M13" s="17">
        <f>'Datos Actividad'!$S9*'FE Sectorial'!$H12*'FE Sectorial'!N12/1000/1000</f>
        <v>1483.2317148</v>
      </c>
      <c r="N13" s="17">
        <f>'Datos Actividad'!$S9*'FE Sectorial'!$H12*'FE Sectorial'!O12/1000/1000</f>
        <v>0</v>
      </c>
      <c r="O13" s="17">
        <f>IF(D13&lt;400,H13+I13*'Factores generales'!$M$41+J13*'Factores generales'!$N$41,I13*'Factores generales'!$M$41+J13*'Factores generales'!$N$41)</f>
        <v>16574076.150689639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Actividad'!$S10*'FE Sectorial'!$H13*'FE Sectorial'!I13*'FE Sectorial'!$P13/1000</f>
        <v>0</v>
      </c>
      <c r="I14" s="147">
        <f>'Datos Actividad'!$S10*'FE Sectorial'!$H13*'FE Sectorial'!J13/1000/1000</f>
        <v>0</v>
      </c>
      <c r="J14" s="147">
        <f>'Datos Actividad'!$S10*'FE Sectorial'!$H13*'FE Sectorial'!K13/1000/1000</f>
        <v>0</v>
      </c>
      <c r="K14" s="147">
        <f>'Datos Actividad'!$S10*'FE Sectorial'!$H13*'FE Sectorial'!L13/1000/1000</f>
        <v>0</v>
      </c>
      <c r="L14" s="147">
        <f>'Datos Actividad'!$S10*'FE Sectorial'!$H13*'FE Sectorial'!M13/1000/1000</f>
        <v>0</v>
      </c>
      <c r="M14" s="147">
        <f>'Datos Actividad'!$S10*'FE Sectorial'!$H13*'FE Sectorial'!N13/1000/1000</f>
        <v>0</v>
      </c>
      <c r="N14" s="147">
        <f>'Datos Actividad'!$S10*'FE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5012626.2748031998</v>
      </c>
      <c r="I17" s="134">
        <f t="shared" ref="I17:O17" si="5">SUM(I18:I25)</f>
        <v>123.94998569928623</v>
      </c>
      <c r="J17" s="134">
        <f t="shared" si="5"/>
        <v>23.373882307039946</v>
      </c>
      <c r="K17" s="134">
        <f t="shared" si="5"/>
        <v>13384.76579326508</v>
      </c>
      <c r="L17" s="134">
        <f t="shared" si="5"/>
        <v>1460.7855744716585</v>
      </c>
      <c r="M17" s="134">
        <f t="shared" si="5"/>
        <v>393.48011971552756</v>
      </c>
      <c r="N17" s="134">
        <f t="shared" si="5"/>
        <v>4177.7010016232825</v>
      </c>
      <c r="O17" s="134">
        <f t="shared" si="5"/>
        <v>5022475.1280180681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Actividad'!$S14*'FE Sectorial'!$H17*'FE Sectorial'!I17*'FE Sectorial'!P17/1000</f>
        <v>1625491.7970849362</v>
      </c>
      <c r="I18" s="17">
        <f>'Datos Actividad'!$S14*'FE Sectorial'!$H17*'FE Sectorial'!J17/1000/1000</f>
        <v>29.120500847999999</v>
      </c>
      <c r="J18" s="17">
        <f>'Datos Actividad'!$S14*'FE Sectorial'!$H17*'FE Sectorial'!K17/1000/1000</f>
        <v>2.9120500848000002</v>
      </c>
      <c r="K18" s="17">
        <f>'Datos Actividad'!$S14*'FE Sectorial'!$H17*'FE Sectorial'!L17/1000/1000</f>
        <v>4368.0751271999998</v>
      </c>
      <c r="L18" s="17">
        <f>'Datos Actividad'!$S14*'FE Sectorial'!$H17*'FE Sectorial'!M17/1000/1000</f>
        <v>582.41001696000001</v>
      </c>
      <c r="M18" s="17">
        <f>'Datos Actividad'!$S14*'FE Sectorial'!$H17*'FE Sectorial'!N17/1000/1000</f>
        <v>145.60250424</v>
      </c>
      <c r="N18" s="17">
        <f>'Datos Actividad'!$S14*'FE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1627006.063129032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Actividad'!$S15*'FE Sectorial'!$H18*'FE Sectorial'!I18*'FE Sectorial'!P18/1000</f>
        <v>11106.748592876711</v>
      </c>
      <c r="I19" s="17">
        <f>'Datos Actividad'!$S15*'FE Sectorial'!$H18*'FE Sectorial'!J18/1000/1000</f>
        <v>0.17779616438356163</v>
      </c>
      <c r="J19" s="17">
        <f>'Datos Actividad'!$S15*'FE Sectorial'!$H18*'FE Sectorial'!K18/1000/1000</f>
        <v>1.7779616438356165E-2</v>
      </c>
      <c r="K19" s="17">
        <f>'Datos Actividad'!$S15*'FE Sectorial'!$H18*'FE Sectorial'!L18/1000/1000</f>
        <v>26.669424657534243</v>
      </c>
      <c r="L19" s="17">
        <f>'Datos Actividad'!$S15*'FE Sectorial'!$H18*'FE Sectorial'!M18/1000/1000</f>
        <v>3.5559232876712326</v>
      </c>
      <c r="M19" s="17">
        <f>'Datos Actividad'!$S15*'FE Sectorial'!$H18*'FE Sectorial'!N18/1000/1000</f>
        <v>0.88898082191780814</v>
      </c>
      <c r="N19" s="17">
        <f>'Datos Actividad'!$S15*'FE Sectorial'!$H18*'FE Sectorial'!O18/1000/1000</f>
        <v>0.75178082191780837</v>
      </c>
      <c r="O19" s="87">
        <f>IF(D19&lt;400,H19+I19*'Factores generales'!$M$41+J19*'Factores generales'!$N$41,I19*'Factores generales'!$M$41+J19*'Factores generales'!$N$41)</f>
        <v>11115.993993424656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Actividad'!$S16*'FE Sectorial'!$H19*'FE Sectorial'!I19*'FE Sectorial'!P19/1000</f>
        <v>1362726.0504000001</v>
      </c>
      <c r="I20" s="17">
        <f>'Datos Actividad'!$S16*'FE Sectorial'!$H19*'FE Sectorial'!J19/1000/1000</f>
        <v>23.777325000000001</v>
      </c>
      <c r="J20" s="17">
        <f>'Datos Actividad'!$S16*'FE Sectorial'!$H19*'FE Sectorial'!K19/1000/1000</f>
        <v>2.3777325</v>
      </c>
      <c r="K20" s="17">
        <f>'Datos Actividad'!$S16*'FE Sectorial'!$H19*'FE Sectorial'!L19/1000/1000</f>
        <v>3566.5987500000001</v>
      </c>
      <c r="L20" s="17">
        <f>'Datos Actividad'!$S16*'FE Sectorial'!$H19*'FE Sectorial'!M19/1000/1000</f>
        <v>475.54649999999998</v>
      </c>
      <c r="M20" s="17">
        <f>'Datos Actividad'!$S16*'FE Sectorial'!$H19*'FE Sectorial'!N19/1000/1000</f>
        <v>118.886625</v>
      </c>
      <c r="N20" s="17">
        <f>'Datos Actividad'!$S16*'FE Sectorial'!$H19*'FE Sectorial'!O19/1000/1000</f>
        <v>0</v>
      </c>
      <c r="O20" s="87">
        <f>IF(D20&lt;400,H20+I20*'Factores generales'!$M$41+J20*'Factores generales'!$N$41,I20*'Factores generales'!$M$41+J20*'Factores generales'!$N$41)</f>
        <v>1363962.4713000001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Actividad'!$S17*'FE Sectorial'!$H20*'FE Sectorial'!I20*'FE Sectorial'!P20/1000</f>
        <v>0</v>
      </c>
      <c r="I21" s="17">
        <f>'Datos Actividad'!$S17*'FE Sectorial'!$H20*'FE Sectorial'!J20/1000/1000</f>
        <v>0</v>
      </c>
      <c r="J21" s="17">
        <f>'Datos Actividad'!$S17*'FE Sectorial'!$H20*'FE Sectorial'!K20/1000/1000</f>
        <v>0</v>
      </c>
      <c r="K21" s="17">
        <f>'Datos Actividad'!$S17*'FE Sectorial'!$H20*'FE Sectorial'!L20/1000/1000</f>
        <v>0</v>
      </c>
      <c r="L21" s="17">
        <f>'Datos Actividad'!$S17*'FE Sectorial'!$H20*'FE Sectorial'!M20/1000/1000</f>
        <v>0</v>
      </c>
      <c r="M21" s="17">
        <f>'Datos Actividad'!$S17*'FE Sectorial'!$H20*'FE Sectorial'!N20/1000/1000</f>
        <v>0</v>
      </c>
      <c r="N21" s="17">
        <f>'Datos Actividad'!$S17*'FE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Actividad'!$S18*'FE Sectorial'!$H21*'FE Sectorial'!I21*'FE Sectorial'!P21/1000</f>
        <v>6701.4144320869573</v>
      </c>
      <c r="I22" s="17">
        <f>'Datos Actividad'!$S18*'FE Sectorial'!$H21*'FE Sectorial'!J21/1000/1000</f>
        <v>0.29303486956521746</v>
      </c>
      <c r="J22" s="17">
        <f>'Datos Actividad'!$S18*'FE Sectorial'!$H21*'FE Sectorial'!K21/1000/1000</f>
        <v>5.8606973913043481E-2</v>
      </c>
      <c r="K22" s="17">
        <f>'Datos Actividad'!$S18*'FE Sectorial'!$H21*'FE Sectorial'!L21/1000/1000</f>
        <v>19.535657971014494</v>
      </c>
      <c r="L22" s="17">
        <f>'Datos Actividad'!$S18*'FE Sectorial'!$H21*'FE Sectorial'!M21/1000/1000</f>
        <v>1.465174347826087</v>
      </c>
      <c r="M22" s="17">
        <f>'Datos Actividad'!$S18*'FE Sectorial'!$H21*'FE Sectorial'!N21/1000/1000</f>
        <v>0.48839144927536243</v>
      </c>
      <c r="N22" s="17">
        <f>'Datos Actividad'!$S18*'FE Sectorial'!$H21*'FE Sectorial'!O21/1000/1000</f>
        <v>0.44098550724637686</v>
      </c>
      <c r="O22" s="87">
        <f>IF(D22&lt;400,H22+I22*'Factores generales'!$M$41+J22*'Factores generales'!$N$41,I22*'Factores generales'!$M$41+J22*'Factores generales'!$N$41)</f>
        <v>6725.7363262608696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Actividad'!$S19*'FE Sectorial'!$H22*'FE Sectorial'!I22*'FE Sectorial'!P22/1000</f>
        <v>129146.36188235294</v>
      </c>
      <c r="I23" s="17">
        <f>'Datos Actividad'!$S19*'FE Sectorial'!$H22*'FE Sectorial'!J22/1000/1000</f>
        <v>5.281411764705882</v>
      </c>
      <c r="J23" s="17">
        <f>'Datos Actividad'!$S19*'FE Sectorial'!$H22*'FE Sectorial'!K22/1000/1000</f>
        <v>1.0562823529411765</v>
      </c>
      <c r="K23" s="17">
        <f>'Datos Actividad'!$S19*'FE Sectorial'!$H22*'FE Sectorial'!L22/1000/1000</f>
        <v>352.09411764705885</v>
      </c>
      <c r="L23" s="17">
        <f>'Datos Actividad'!$S19*'FE Sectorial'!$H22*'FE Sectorial'!M22/1000/1000</f>
        <v>26.407058823529415</v>
      </c>
      <c r="M23" s="17">
        <f>'Datos Actividad'!$S19*'FE Sectorial'!$H22*'FE Sectorial'!N22/1000/1000</f>
        <v>8.8023529411764709</v>
      </c>
      <c r="N23" s="17">
        <f>'Datos Actividad'!$S19*'FE Sectorial'!$H22*'FE Sectorial'!O22/1000/1000</f>
        <v>63.868235294117653</v>
      </c>
      <c r="O23" s="87">
        <f>IF(D23&lt;400,H23+I23*'Factores generales'!$M$41+J23*'Factores generales'!$N$41,I23*'Factores generales'!$M$41+J23*'Factores generales'!$N$41)</f>
        <v>129584.71905882352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Actividad'!$S20*'FE Sectorial'!$H23*'FE Sectorial'!I23*'FE Sectorial'!P23/1000</f>
        <v>1591432.5208320003</v>
      </c>
      <c r="I24" s="17">
        <f>'Datos Actividad'!$S20*'FE Sectorial'!$H23*'FE Sectorial'!J23/1000/1000</f>
        <v>62.306495999999996</v>
      </c>
      <c r="J24" s="17">
        <f>'Datos Actividad'!$S20*'FE Sectorial'!$H23*'FE Sectorial'!K23/1000/1000</f>
        <v>12.461299199999999</v>
      </c>
      <c r="K24" s="17">
        <f>'Datos Actividad'!$S20*'FE Sectorial'!$H23*'FE Sectorial'!L23/1000/1000</f>
        <v>4153.7663999999995</v>
      </c>
      <c r="L24" s="17">
        <f>'Datos Actividad'!$S20*'FE Sectorial'!$H23*'FE Sectorial'!M23/1000/1000</f>
        <v>311.53247999999996</v>
      </c>
      <c r="M24" s="17">
        <f>'Datos Actividad'!$S20*'FE Sectorial'!$H23*'FE Sectorial'!N23/1000/1000</f>
        <v>103.84416</v>
      </c>
      <c r="N24" s="17">
        <f>'Datos Actividad'!$S20*'FE Sectorial'!$H23*'FE Sectorial'!O23/1000/1000</f>
        <v>4112.6400000000003</v>
      </c>
      <c r="O24" s="87">
        <f>IF(D24&lt;400,H24+I24*'Factores generales'!$M$41+J24*'Factores generales'!$N$41,I24*'Factores generales'!$M$41+J24*'Factores generales'!$N$41)</f>
        <v>1596603.9600000002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Actividad'!$S21*'FE Sectorial'!$H24*'FE Sectorial'!I24*'FE Sectorial'!P24/1000</f>
        <v>286021.38157894736</v>
      </c>
      <c r="I25" s="17">
        <f>'Datos Actividad'!$S21*'FE Sectorial'!$H24*'FE Sectorial'!J24/1000/1000</f>
        <v>2.9934210526315788</v>
      </c>
      <c r="J25" s="17">
        <f>'Datos Actividad'!$S21*'FE Sectorial'!$H24*'FE Sectorial'!K24/1000/1000</f>
        <v>4.490131578947369</v>
      </c>
      <c r="K25" s="17">
        <f>'Datos Actividad'!$S21*'FE Sectorial'!$H24*'FE Sectorial'!L24/1000/1000</f>
        <v>898.02631578947376</v>
      </c>
      <c r="L25" s="17">
        <f>'Datos Actividad'!$S21*'FE Sectorial'!$H24*'FE Sectorial'!M24/1000/1000</f>
        <v>59.868421052631582</v>
      </c>
      <c r="M25" s="17">
        <f>'Datos Actividad'!$S21*'FE Sectorial'!$H24*'FE Sectorial'!N24/1000/1000</f>
        <v>14.967105263157896</v>
      </c>
      <c r="N25" s="17">
        <f>'Datos Actividad'!$S21*'FE Sectorial'!$H24*'FE Sectorial'!O24/1000/1000</f>
        <v>0</v>
      </c>
      <c r="O25" s="87">
        <f>IF(D25&lt;400,H25+I25*'Factores generales'!$M$41+J25*'Factores generales'!$N$41,I25*'Factores generales'!$M$41+J25*'Factores generales'!$N$41)</f>
        <v>287476.18421052635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6253401.5945874015</v>
      </c>
      <c r="I26" s="134">
        <f t="shared" ref="I26:O26" si="6">I27+I28</f>
        <v>111.11398559999999</v>
      </c>
      <c r="J26" s="134">
        <f t="shared" si="6"/>
        <v>13.212424140000003</v>
      </c>
      <c r="K26" s="134">
        <f t="shared" si="6"/>
        <v>16880.354619999998</v>
      </c>
      <c r="L26" s="134">
        <f t="shared" si="6"/>
        <v>2220.3892169999999</v>
      </c>
      <c r="M26" s="134">
        <f t="shared" si="6"/>
        <v>555.14981799999998</v>
      </c>
      <c r="N26" s="134">
        <f t="shared" si="6"/>
        <v>1429.6534200000001</v>
      </c>
      <c r="O26" s="134">
        <f t="shared" si="6"/>
        <v>6259830.8397684013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6253401.5945874015</v>
      </c>
      <c r="I28" s="15">
        <f t="shared" si="7"/>
        <v>111.11398559999999</v>
      </c>
      <c r="J28" s="15">
        <f t="shared" si="7"/>
        <v>13.212424140000003</v>
      </c>
      <c r="K28" s="15">
        <f t="shared" si="7"/>
        <v>16880.354619999998</v>
      </c>
      <c r="L28" s="15">
        <f t="shared" si="7"/>
        <v>2220.3892169999999</v>
      </c>
      <c r="M28" s="15">
        <f t="shared" si="7"/>
        <v>555.14981799999998</v>
      </c>
      <c r="N28" s="15">
        <f t="shared" si="7"/>
        <v>1429.6534200000001</v>
      </c>
      <c r="O28" s="15">
        <f t="shared" si="7"/>
        <v>6259830.8397684013</v>
      </c>
    </row>
    <row r="29" spans="1:15" outlineLevel="1" x14ac:dyDescent="0.25">
      <c r="B29" s="1" t="s">
        <v>7</v>
      </c>
      <c r="G29" s="1"/>
      <c r="H29" s="95">
        <f t="shared" ref="H29:O29" si="8">H30+H31</f>
        <v>138503.51622359999</v>
      </c>
      <c r="I29" s="95">
        <f t="shared" si="8"/>
        <v>1.5002441999999998</v>
      </c>
      <c r="J29" s="95">
        <f t="shared" si="8"/>
        <v>2.2392981000000005</v>
      </c>
      <c r="K29" s="95">
        <f t="shared" si="8"/>
        <v>448.08666000000005</v>
      </c>
      <c r="L29" s="95">
        <f t="shared" si="8"/>
        <v>29.877174</v>
      </c>
      <c r="M29" s="95">
        <f t="shared" si="8"/>
        <v>7.4728409999999998</v>
      </c>
      <c r="N29" s="95">
        <f t="shared" si="8"/>
        <v>1428.23226</v>
      </c>
      <c r="O29" s="95">
        <f t="shared" si="8"/>
        <v>139229.20376280003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Actividad'!$S26*'FE Sectorial'!$H29*'FE Sectorial'!I29*'FE Sectorial'!P29/1000</f>
        <v>138295.3233816</v>
      </c>
      <c r="I30" s="17">
        <f>'Datos Actividad'!$S26*'FE Sectorial'!$H29*'FE Sectorial'!J29/1000/1000</f>
        <v>1.4917301999999999</v>
      </c>
      <c r="J30" s="17">
        <f>'Datos Actividad'!$S26*'FE Sectorial'!$H29*'FE Sectorial'!K29/1000/1000</f>
        <v>2.2375953000000006</v>
      </c>
      <c r="K30" s="17">
        <f>'Datos Actividad'!$S26*'FE Sectorial'!$H29*'FE Sectorial'!L29/1000/1000</f>
        <v>447.51906000000002</v>
      </c>
      <c r="L30" s="17">
        <f>'Datos Actividad'!$S26*'FE Sectorial'!$H29*'FE Sectorial'!M29/1000/1000</f>
        <v>29.834603999999999</v>
      </c>
      <c r="M30" s="17">
        <f>'Datos Actividad'!$S26*'FE Sectorial'!$H29*'FE Sectorial'!N29/1000/1000</f>
        <v>7.4586509999999997</v>
      </c>
      <c r="N30" s="17">
        <f>'Datos Actividad'!$S26*'FE Sectorial'!$H29*'FE Sectorial'!O29/1000/1000</f>
        <v>1428.1293000000001</v>
      </c>
      <c r="O30" s="87">
        <f>IF(D30&lt;400,H30+I30*'Factores generales'!$M$41+J30*'Factores generales'!$N$41,I30*'Factores generales'!$M$41+J30*'Factores generales'!$N$41)</f>
        <v>139020.30425880002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Actividad'!$S27*'FE Sectorial'!$H30*'FE Sectorial'!I30*'FE Sectorial'!P30/1000</f>
        <v>208.19284199999998</v>
      </c>
      <c r="I31" s="17">
        <f>'Datos Actividad'!$S27*'FE Sectorial'!$H30*'FE Sectorial'!J30/1000/1000</f>
        <v>8.513999999999999E-3</v>
      </c>
      <c r="J31" s="17">
        <f>'Datos Actividad'!$S27*'FE Sectorial'!$H30*'FE Sectorial'!K30/1000/1000</f>
        <v>1.7028E-3</v>
      </c>
      <c r="K31" s="17">
        <f>'Datos Actividad'!$S27*'FE Sectorial'!$H30*'FE Sectorial'!L30/1000/1000</f>
        <v>0.56759999999999999</v>
      </c>
      <c r="L31" s="17">
        <f>'Datos Actividad'!$S27*'FE Sectorial'!$H30*'FE Sectorial'!M30/1000/1000</f>
        <v>4.2570000000000004E-2</v>
      </c>
      <c r="M31" s="17">
        <f>'Datos Actividad'!$S27*'FE Sectorial'!$H30*'FE Sectorial'!N30/1000/1000</f>
        <v>1.4189999999999999E-2</v>
      </c>
      <c r="N31" s="17">
        <f>'Datos Actividad'!$S27*'FE Sectorial'!$H30*'FE Sectorial'!O30/1000/1000</f>
        <v>0.10296</v>
      </c>
      <c r="O31" s="87">
        <f>IF(D31&lt;400,H31+I31*'Factores generales'!$M$41+J31*'Factores generales'!$N$41,I31*'Factores generales'!$M$41+J31*'Factores generales'!$N$41)</f>
        <v>208.89950400000001</v>
      </c>
    </row>
    <row r="32" spans="1:15" outlineLevel="1" x14ac:dyDescent="0.25">
      <c r="B32" s="1" t="s">
        <v>6</v>
      </c>
      <c r="G32" s="1"/>
      <c r="H32" s="17">
        <f>H33+H34+H35</f>
        <v>6114898.0783638014</v>
      </c>
      <c r="I32" s="17">
        <f t="shared" ref="I32:O32" si="9">I33+I34+I35</f>
        <v>109.61374139999999</v>
      </c>
      <c r="J32" s="17">
        <f t="shared" si="9"/>
        <v>10.973126040000002</v>
      </c>
      <c r="K32" s="17">
        <f t="shared" si="9"/>
        <v>16432.267959999997</v>
      </c>
      <c r="L32" s="17">
        <f t="shared" si="9"/>
        <v>2190.5120429999997</v>
      </c>
      <c r="M32" s="17">
        <f t="shared" si="9"/>
        <v>547.67697699999997</v>
      </c>
      <c r="N32" s="17">
        <f t="shared" si="9"/>
        <v>1.42116</v>
      </c>
      <c r="O32" s="17">
        <f t="shared" si="9"/>
        <v>6120601.6360056009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Actividad'!$S29*'FE Sectorial'!$H32*'FE Sectorial'!I32*'FE Sectorial'!P32/1000</f>
        <v>6112024.386256801</v>
      </c>
      <c r="I33" s="17">
        <f>'Datos Actividad'!$S29*'FE Sectorial'!$H32*'FE Sectorial'!J32/1000/1000</f>
        <v>109.49622239999999</v>
      </c>
      <c r="J33" s="17">
        <f>'Datos Actividad'!$S29*'FE Sectorial'!$H32*'FE Sectorial'!K32/1000/1000</f>
        <v>10.949622240000002</v>
      </c>
      <c r="K33" s="17">
        <f>'Datos Actividad'!$S29*'FE Sectorial'!$H32*'FE Sectorial'!L32/1000/1000</f>
        <v>16424.433359999999</v>
      </c>
      <c r="L33" s="17">
        <f>'Datos Actividad'!$S29*'FE Sectorial'!$H32*'FE Sectorial'!M32/1000/1000</f>
        <v>2189.9244479999998</v>
      </c>
      <c r="M33" s="17">
        <f>'Datos Actividad'!$S29*'FE Sectorial'!$H32*'FE Sectorial'!N32/1000/1000</f>
        <v>547.48111199999994</v>
      </c>
      <c r="N33" s="17">
        <f>'Datos Actividad'!$S29*'FE Sectorial'!$H32*'FE Sectorial'!O32/1000/1000</f>
        <v>0</v>
      </c>
      <c r="O33" s="87">
        <f>IF(D33&lt;400,H33+I33*'Factores generales'!$M$41+J33*'Factores generales'!$N$41,I33*'Factores generales'!$M$41+J33*'Factores generales'!$N$41)</f>
        <v>6117718.1898216009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Actividad'!$S30*'FE Sectorial'!$H33*'FE Sectorial'!I33*'FE Sectorial'!P33/1000</f>
        <v>2873.6921069999999</v>
      </c>
      <c r="I34" s="17">
        <f>'Datos Actividad'!$S30*'FE Sectorial'!$H33*'FE Sectorial'!J33/1000/1000</f>
        <v>0.11751900000000001</v>
      </c>
      <c r="J34" s="17">
        <f>'Datos Actividad'!$S30*'FE Sectorial'!$H33*'FE Sectorial'!K33/1000/1000</f>
        <v>2.3503799999999998E-2</v>
      </c>
      <c r="K34" s="17">
        <f>'Datos Actividad'!$S30*'FE Sectorial'!$H33*'FE Sectorial'!L33/1000/1000</f>
        <v>7.8346</v>
      </c>
      <c r="L34" s="17">
        <f>'Datos Actividad'!$S30*'FE Sectorial'!$H33*'FE Sectorial'!M33/1000/1000</f>
        <v>0.58759499999999998</v>
      </c>
      <c r="M34" s="17">
        <f>'Datos Actividad'!$S30*'FE Sectorial'!$H33*'FE Sectorial'!N33/1000/1000</f>
        <v>0.19586500000000001</v>
      </c>
      <c r="N34" s="17">
        <f>'Datos Actividad'!$S30*'FE Sectorial'!$H33*'FE Sectorial'!O33/1000/1000</f>
        <v>1.42116</v>
      </c>
      <c r="O34" s="87">
        <f>IF(D34&lt;400,H34+I34*'Factores generales'!$M$41+J34*'Factores generales'!$N$41,I34*'Factores generales'!$M$41+J34*'Factores generales'!$N$41)</f>
        <v>2883.4461839999999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Actividad'!$S31*'FE Sectorial'!$H34*'FE Sectorial'!I34*'FE Sectorial'!P34/1000</f>
        <v>0</v>
      </c>
      <c r="I35" s="17">
        <f>'Datos Actividad'!$S31*'FE Sectorial'!$H34*'FE Sectorial'!J34/1000/1000</f>
        <v>0</v>
      </c>
      <c r="J35" s="17">
        <f>'Datos Actividad'!$S31*'FE Sectorial'!$H34*'FE Sectorial'!K34/1000/1000</f>
        <v>0</v>
      </c>
      <c r="K35" s="17">
        <f>'Datos Actividad'!$S31*'FE Sectorial'!$H34*'FE Sectorial'!L34/1000/1000</f>
        <v>0</v>
      </c>
      <c r="L35" s="17">
        <f>'Datos Actividad'!$S31*'FE Sectorial'!$H34*'FE Sectorial'!M34/1000/1000</f>
        <v>0</v>
      </c>
      <c r="M35" s="17">
        <f>'Datos Actividad'!$S31*'FE Sectorial'!$H34*'FE Sectorial'!N34/1000/1000</f>
        <v>0</v>
      </c>
      <c r="N35" s="17">
        <f>'Datos Actividad'!$S31*'FE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20979029.820252709</v>
      </c>
      <c r="I36" s="129">
        <f t="shared" si="10"/>
        <v>3115.394053962109</v>
      </c>
      <c r="J36" s="129">
        <f t="shared" si="10"/>
        <v>438.07053057076149</v>
      </c>
      <c r="K36" s="129">
        <f t="shared" si="10"/>
        <v>61193.203602944879</v>
      </c>
      <c r="L36" s="129">
        <f t="shared" si="10"/>
        <v>368183.96299236832</v>
      </c>
      <c r="M36" s="129">
        <f t="shared" si="10"/>
        <v>6493.6695470316827</v>
      </c>
      <c r="N36" s="129">
        <f t="shared" si="10"/>
        <v>5369.6044121977066</v>
      </c>
      <c r="O36" s="129">
        <f t="shared" si="10"/>
        <v>21275850.823862851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6967594.5763544617</v>
      </c>
      <c r="I37" s="134">
        <f t="shared" ref="I37:O37" si="11">SUM(I38:I44)</f>
        <v>79.154716005311812</v>
      </c>
      <c r="J37" s="134">
        <f t="shared" si="11"/>
        <v>28.561239173279724</v>
      </c>
      <c r="K37" s="134">
        <f t="shared" si="11"/>
        <v>13961.124104305547</v>
      </c>
      <c r="L37" s="134">
        <f t="shared" si="11"/>
        <v>4097.7692989663728</v>
      </c>
      <c r="M37" s="134">
        <f t="shared" si="11"/>
        <v>611.16455737743627</v>
      </c>
      <c r="N37" s="134">
        <f t="shared" si="11"/>
        <v>86.152840000000012</v>
      </c>
      <c r="O37" s="134">
        <f t="shared" si="11"/>
        <v>6978110.8095342899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Actividad'!$S34*'FE Sectorial'!$H37*'FE Sectorial'!I37*'FE Sectorial'!P37/1000</f>
        <v>2672731.0295009282</v>
      </c>
      <c r="I38" s="17">
        <f>'Datos Actividad'!$S34*'FE Sectorial'!$H37*'FE Sectorial'!J37/1000/1000</f>
        <v>47.881672704000003</v>
      </c>
      <c r="J38" s="17">
        <f>'Datos Actividad'!$S34*'FE Sectorial'!$H37*'FE Sectorial'!K37/1000/1000</f>
        <v>4.7881672704000016</v>
      </c>
      <c r="K38" s="17">
        <f>'Datos Actividad'!$S34*'FE Sectorial'!$H37*'FE Sectorial'!L37/1000/1000</f>
        <v>7182.2509055999999</v>
      </c>
      <c r="L38" s="17">
        <f>'Datos Actividad'!$S34*'FE Sectorial'!$H37*'FE Sectorial'!M37/1000/1000</f>
        <v>1436.45018112</v>
      </c>
      <c r="M38" s="17">
        <f>'Datos Actividad'!$S34*'FE Sectorial'!$H37*'FE Sectorial'!N37/1000/1000</f>
        <v>239.40836352000002</v>
      </c>
      <c r="N38" s="17">
        <f>'Datos Actividad'!$S34*'FE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2675220.8764815363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Actividad'!$S35*'FE Sectorial'!$H38*'FE Sectorial'!I38*'FE Sectorial'!P38/1000</f>
        <v>2635166.2624035841</v>
      </c>
      <c r="I39" s="17">
        <f>'Datos Actividad'!$S35*'FE Sectorial'!$H38*'FE Sectorial'!J38/1000/1000</f>
        <v>10.186185784320001</v>
      </c>
      <c r="J39" s="17">
        <f>'Datos Actividad'!$S35*'FE Sectorial'!$H38*'FE Sectorial'!K38/1000/1000</f>
        <v>1.0186185784320001</v>
      </c>
      <c r="K39" s="17">
        <f>'Datos Actividad'!$S35*'FE Sectorial'!$H38*'FE Sectorial'!L38/1000/1000</f>
        <v>1527.9278676479998</v>
      </c>
      <c r="L39" s="17">
        <f>'Datos Actividad'!$S35*'FE Sectorial'!$H38*'FE Sectorial'!M38/1000/1000</f>
        <v>305.58557352960003</v>
      </c>
      <c r="M39" s="17">
        <f>'Datos Actividad'!$S35*'FE Sectorial'!$H38*'FE Sectorial'!N38/1000/1000</f>
        <v>50.9309289216</v>
      </c>
      <c r="N39" s="17">
        <f>'Datos Actividad'!$S35*'FE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2635695.944064369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Actividad'!$S36*'FE Sectorial'!$H39*'FE Sectorial'!I39*'FE Sectorial'!P39/1000</f>
        <v>225939.32864506083</v>
      </c>
      <c r="I40" s="17">
        <f>'Datos Actividad'!$S36*'FE Sectorial'!$H39*'FE Sectorial'!J39/1000/1000</f>
        <v>5.1142950936000018</v>
      </c>
      <c r="J40" s="17">
        <f>'Datos Actividad'!$S36*'FE Sectorial'!$H39*'FE Sectorial'!K39/1000/1000</f>
        <v>0.5114295093600002</v>
      </c>
      <c r="K40" s="17">
        <f>'Datos Actividad'!$S36*'FE Sectorial'!$H39*'FE Sectorial'!L39/1000/1000</f>
        <v>767.14426404000017</v>
      </c>
      <c r="L40" s="17">
        <f>'Datos Actividad'!$S36*'FE Sectorial'!$H39*'FE Sectorial'!M39/1000/1000</f>
        <v>153.42885280800002</v>
      </c>
      <c r="M40" s="17">
        <f>'Datos Actividad'!$S36*'FE Sectorial'!$H39*'FE Sectorial'!N39/1000/1000</f>
        <v>25.571475468000003</v>
      </c>
      <c r="N40" s="17">
        <f>'Datos Actividad'!$S36*'FE Sectorial'!$H39*'FE Sectorial'!O39/1000/1000</f>
        <v>0</v>
      </c>
      <c r="O40" s="87">
        <f>IF(D40&lt;400,H40+I40*'Factores generales'!$M$41+J40*'Factores generales'!$N$41,I40*'Factores generales'!$M$41+J40*'Factores generales'!$N$41)</f>
        <v>226205.27198992803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Actividad'!$S37*'FE Sectorial'!$H40*'FE Sectorial'!I40*'FE Sectorial'!P40/1000</f>
        <v>438.46674299999995</v>
      </c>
      <c r="I41" s="17">
        <f>'Datos Actividad'!$S37*'FE Sectorial'!$H40*'FE Sectorial'!J40/1000/1000</f>
        <v>1.7931000000000002E-2</v>
      </c>
      <c r="J41" s="17">
        <f>'Datos Actividad'!$S37*'FE Sectorial'!$H40*'FE Sectorial'!K40/1000/1000</f>
        <v>3.5861999999999999E-3</v>
      </c>
      <c r="K41" s="17">
        <f>'Datos Actividad'!$S37*'FE Sectorial'!$H40*'FE Sectorial'!L40/1000/1000</f>
        <v>1.1954</v>
      </c>
      <c r="L41" s="17">
        <f>'Datos Actividad'!$S37*'FE Sectorial'!$H40*'FE Sectorial'!M40/1000/1000</f>
        <v>5.9770000000000004E-2</v>
      </c>
      <c r="M41" s="17">
        <f>'Datos Actividad'!$S37*'FE Sectorial'!$H40*'FE Sectorial'!N40/1000/1000</f>
        <v>2.9885000000000002E-2</v>
      </c>
      <c r="N41" s="17">
        <f>'Datos Actividad'!$S37*'FE Sectorial'!$H40*'FE Sectorial'!O40/1000/1000</f>
        <v>0.21684</v>
      </c>
      <c r="O41" s="87">
        <f>IF(D41&lt;400,H41+I41*'Factores generales'!$M$41+J41*'Factores generales'!$N$41,I41*'Factores generales'!$M$41+J41*'Factores generales'!$N$41)</f>
        <v>439.95501599999994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Actividad'!$S38*'FE Sectorial'!$H41*'FE Sectorial'!I41*'FE Sectorial'!P41/1000</f>
        <v>33253.9062768</v>
      </c>
      <c r="I42" s="17">
        <f>'Datos Actividad'!$S38*'FE Sectorial'!$H41*'FE Sectorial'!J41/1000/1000</f>
        <v>1.3019304</v>
      </c>
      <c r="J42" s="17">
        <f>'Datos Actividad'!$S38*'FE Sectorial'!$H41*'FE Sectorial'!K41/1000/1000</f>
        <v>0.26038608000000002</v>
      </c>
      <c r="K42" s="17">
        <f>'Datos Actividad'!$S38*'FE Sectorial'!$H41*'FE Sectorial'!L41/1000/1000</f>
        <v>86.795360000000002</v>
      </c>
      <c r="L42" s="17">
        <f>'Datos Actividad'!$S38*'FE Sectorial'!$H41*'FE Sectorial'!M41/1000/1000</f>
        <v>4.3397680000000003</v>
      </c>
      <c r="M42" s="17">
        <f>'Datos Actividad'!$S38*'FE Sectorial'!$H41*'FE Sectorial'!N41/1000/1000</f>
        <v>2.1698840000000001</v>
      </c>
      <c r="N42" s="17">
        <f>'Datos Actividad'!$S38*'FE Sectorial'!$H41*'FE Sectorial'!O41/1000/1000</f>
        <v>85.936000000000007</v>
      </c>
      <c r="O42" s="87">
        <f>IF(D42&lt;400,H42+I42*'Factores generales'!$M$41+J42*'Factores generales'!$N$41,I42*'Factores generales'!$M$41+J42*'Factores generales'!$N$41)</f>
        <v>33361.966500000002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Actividad'!$S39*'FE Sectorial'!$H42*'FE Sectorial'!I42*'FE Sectorial'!P42/1000</f>
        <v>1185967.2286184211</v>
      </c>
      <c r="I43" s="17">
        <f>'Datos Actividad'!$S39*'FE Sectorial'!$H42*'FE Sectorial'!J42/1000/1000</f>
        <v>12.412006578947368</v>
      </c>
      <c r="J43" s="17">
        <f>'Datos Actividad'!$S39*'FE Sectorial'!$H42*'FE Sectorial'!K42/1000/1000</f>
        <v>18.618009868421058</v>
      </c>
      <c r="K43" s="17">
        <f>'Datos Actividad'!$S39*'FE Sectorial'!$H42*'FE Sectorial'!L42/1000/1000</f>
        <v>3723.6019736842109</v>
      </c>
      <c r="L43" s="17">
        <f>'Datos Actividad'!$S39*'FE Sectorial'!$H42*'FE Sectorial'!M42/1000/1000</f>
        <v>1861.8009868421054</v>
      </c>
      <c r="M43" s="17">
        <f>'Datos Actividad'!$S39*'FE Sectorial'!$H42*'FE Sectorial'!N42/1000/1000</f>
        <v>248.24013157894737</v>
      </c>
      <c r="N43" s="17">
        <f>'Datos Actividad'!$S39*'FE Sectorial'!$H42*'FE Sectorial'!O42/1000/1000</f>
        <v>0</v>
      </c>
      <c r="O43" s="87">
        <f>IF(D43&lt;400,H43+I43*'Factores generales'!$M$41+J43*'Factores generales'!$N$41,I43*'Factores generales'!$M$41+J43*'Factores generales'!$N$41)</f>
        <v>1191999.4638157897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Actividad'!$S40*'FE Sectorial'!$H43*'FE Sectorial'!I43*'FE Sectorial'!P43/1000</f>
        <v>214098.35416666663</v>
      </c>
      <c r="I44" s="17">
        <f>'Datos Actividad'!$S40*'FE Sectorial'!$H43*'FE Sectorial'!J43/1000/1000</f>
        <v>2.2406944444444439</v>
      </c>
      <c r="J44" s="17">
        <f>'Datos Actividad'!$S40*'FE Sectorial'!$H43*'FE Sectorial'!K43/1000/1000</f>
        <v>3.3610416666666665</v>
      </c>
      <c r="K44" s="17">
        <f>'Datos Actividad'!$S40*'FE Sectorial'!$H43*'FE Sectorial'!L43/1000/1000</f>
        <v>672.20833333333326</v>
      </c>
      <c r="L44" s="17">
        <f>'Datos Actividad'!$S40*'FE Sectorial'!$H43*'FE Sectorial'!M43/1000/1000</f>
        <v>336.10416666666663</v>
      </c>
      <c r="M44" s="17">
        <f>'Datos Actividad'!$S40*'FE Sectorial'!$H43*'FE Sectorial'!N43/1000/1000</f>
        <v>44.813888888888883</v>
      </c>
      <c r="N44" s="17">
        <f>'Datos Actividad'!$S40*'FE Sectorial'!$H43*'FE Sectorial'!O43/1000/1000</f>
        <v>0</v>
      </c>
      <c r="O44" s="87">
        <f>IF(D44&lt;400,H44+I44*'Factores generales'!$M$41+J44*'Factores generales'!$N$41,I44*'Factores generales'!$M$41+J44*'Factores generales'!$N$41)</f>
        <v>215187.33166666664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731791.9650563281</v>
      </c>
      <c r="I45" s="134">
        <f t="shared" ref="I45:O45" si="12">I46</f>
        <v>13.109969904000002</v>
      </c>
      <c r="J45" s="134">
        <f t="shared" si="12"/>
        <v>1.3109969904000003</v>
      </c>
      <c r="K45" s="134">
        <f t="shared" si="12"/>
        <v>1966.4954856000002</v>
      </c>
      <c r="L45" s="134">
        <f t="shared" si="12"/>
        <v>393.29909712</v>
      </c>
      <c r="M45" s="134">
        <f t="shared" si="12"/>
        <v>65.549849520000009</v>
      </c>
      <c r="N45" s="134">
        <f t="shared" si="12"/>
        <v>0</v>
      </c>
      <c r="O45" s="134">
        <f t="shared" si="12"/>
        <v>732473.68349133607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Actividad'!$S42*'FE Sectorial'!$H45*'FE Sectorial'!I45*'FE Sectorial'!P45/1000</f>
        <v>731791.9650563281</v>
      </c>
      <c r="I46" s="17">
        <f>'Datos Actividad'!$S42*'FE Sectorial'!$H45*'FE Sectorial'!J45/1000/1000</f>
        <v>13.109969904000002</v>
      </c>
      <c r="J46" s="17">
        <f>'Datos Actividad'!$S42*'FE Sectorial'!$H45*'FE Sectorial'!K45/1000/1000</f>
        <v>1.3109969904000003</v>
      </c>
      <c r="K46" s="17">
        <f>'Datos Actividad'!$S42*'FE Sectorial'!$H45*'FE Sectorial'!L45/1000/1000</f>
        <v>1966.4954856000002</v>
      </c>
      <c r="L46" s="17">
        <f>'Datos Actividad'!$S42*'FE Sectorial'!$H45*'FE Sectorial'!M45/1000/1000</f>
        <v>393.29909712</v>
      </c>
      <c r="M46" s="17">
        <f>'Datos Actividad'!$S42*'FE Sectorial'!$H45*'FE Sectorial'!N45/1000/1000</f>
        <v>65.549849520000009</v>
      </c>
      <c r="N46" s="17">
        <f>'Datos Actividad'!$S42*'FE Sectorial'!$H45*'FE Sectorial'!O45/1000/1000</f>
        <v>0</v>
      </c>
      <c r="O46" s="87">
        <f>IF(D46&lt;400,H46+I46*'Factores generales'!$M$41+J46*'Factores generales'!$N$41,I46*'Factores generales'!$M$41+J46*'Factores generales'!$N$41)</f>
        <v>732473.68349133607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1166360.7831730947</v>
      </c>
      <c r="I47" s="134">
        <f t="shared" ref="I47:O47" si="13">SUM(I48:I55)</f>
        <v>147.68743739132179</v>
      </c>
      <c r="J47" s="134">
        <f t="shared" si="13"/>
        <v>20.497114865012694</v>
      </c>
      <c r="K47" s="134">
        <f t="shared" si="13"/>
        <v>3844.6332968240126</v>
      </c>
      <c r="L47" s="134">
        <f t="shared" si="13"/>
        <v>17412.753405969248</v>
      </c>
      <c r="M47" s="134">
        <f t="shared" si="13"/>
        <v>331.57768636855769</v>
      </c>
      <c r="N47" s="134">
        <f t="shared" si="13"/>
        <v>93.331160000000011</v>
      </c>
      <c r="O47" s="134">
        <f t="shared" si="13"/>
        <v>1271412.1889664661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Actividad'!$S44*'FE Sectorial'!$H47*'FE Sectorial'!I47*'FE Sectorial'!P47/1000</f>
        <v>1070564.2401030867</v>
      </c>
      <c r="I48" s="17">
        <f>'Datos Actividad'!$S44*'FE Sectorial'!$H47*'FE Sectorial'!J47/1000/1000</f>
        <v>19.179036718406408</v>
      </c>
      <c r="J48" s="17">
        <f>'Datos Actividad'!$S44*'FE Sectorial'!$H47*'FE Sectorial'!K47/1000/1000</f>
        <v>1.917903671840641</v>
      </c>
      <c r="K48" s="17">
        <f>'Datos Actividad'!$S44*'FE Sectorial'!$H47*'FE Sectorial'!L47/1000/1000</f>
        <v>2876.8555077609617</v>
      </c>
      <c r="L48" s="17">
        <f>'Datos Actividad'!$S44*'FE Sectorial'!$H47*'FE Sectorial'!M47/1000/1000</f>
        <v>575.37110155219227</v>
      </c>
      <c r="M48" s="17">
        <f>'Datos Actividad'!$S44*'FE Sectorial'!$H47*'FE Sectorial'!N47/1000/1000</f>
        <v>95.895183592032041</v>
      </c>
      <c r="N48" s="17">
        <f>'Datos Actividad'!$S44*'FE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1071561.5500124437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Actividad'!$S45*'FE Sectorial'!$H48*'FE Sectorial'!I48*'FE Sectorial'!P48/1000</f>
        <v>54326.646375408003</v>
      </c>
      <c r="I49" s="17">
        <f>'Datos Actividad'!$S45*'FE Sectorial'!$H48*'FE Sectorial'!J48/1000/1000</f>
        <v>0.94791049650000003</v>
      </c>
      <c r="J49" s="17">
        <f>'Datos Actividad'!$S45*'FE Sectorial'!$H48*'FE Sectorial'!K48/1000/1000</f>
        <v>9.479104965E-2</v>
      </c>
      <c r="K49" s="17">
        <f>'Datos Actividad'!$S45*'FE Sectorial'!$H48*'FE Sectorial'!L48/1000/1000</f>
        <v>142.18657447500001</v>
      </c>
      <c r="L49" s="17">
        <f>'Datos Actividad'!$S45*'FE Sectorial'!$H48*'FE Sectorial'!M48/1000/1000</f>
        <v>28.437314895</v>
      </c>
      <c r="M49" s="17">
        <f>'Datos Actividad'!$S45*'FE Sectorial'!$H48*'FE Sectorial'!N48/1000/1000</f>
        <v>4.7395524825000006</v>
      </c>
      <c r="N49" s="17">
        <f>'Datos Actividad'!$S45*'FE Sectorial'!$H48*'FE Sectorial'!O48/1000/1000</f>
        <v>0</v>
      </c>
      <c r="O49" s="87">
        <f>IF(D49&lt;400,H49+I49*'Factores generales'!$M$41+J49*'Factores generales'!$N$41,I49*'Factores generales'!$M$41+J49*'Factores generales'!$N$41)</f>
        <v>54375.937721226008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Actividad'!$S46*'FE Sectorial'!$H49*'FE Sectorial'!I49*'FE Sectorial'!P49/1000</f>
        <v>6816.7383570000002</v>
      </c>
      <c r="I50" s="17">
        <f>'Datos Actividad'!$S46*'FE Sectorial'!$H49*'FE Sectorial'!J49/1000/1000</f>
        <v>0.27876899999999999</v>
      </c>
      <c r="J50" s="17">
        <f>'Datos Actividad'!$S46*'FE Sectorial'!$H49*'FE Sectorial'!K49/1000/1000</f>
        <v>5.5753799999999999E-2</v>
      </c>
      <c r="K50" s="17">
        <f>'Datos Actividad'!$S46*'FE Sectorial'!$H49*'FE Sectorial'!L49/1000/1000</f>
        <v>18.584599999999998</v>
      </c>
      <c r="L50" s="17">
        <f>'Datos Actividad'!$S46*'FE Sectorial'!$H49*'FE Sectorial'!M49/1000/1000</f>
        <v>0.92923</v>
      </c>
      <c r="M50" s="17">
        <f>'Datos Actividad'!$S46*'FE Sectorial'!$H49*'FE Sectorial'!N49/1000/1000</f>
        <v>0.464615</v>
      </c>
      <c r="N50" s="17">
        <f>'Datos Actividad'!$S46*'FE Sectorial'!$H49*'FE Sectorial'!O49/1000/1000</f>
        <v>3.3711599999999997</v>
      </c>
      <c r="O50" s="87">
        <f>IF(D50&lt;400,H50+I50*'Factores generales'!$M$41+J50*'Factores generales'!$N$41,I50*'Factores generales'!$M$41+J50*'Factores generales'!$N$41)</f>
        <v>6839.8761839999997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Actividad'!$S47*'FE Sectorial'!$H50*'FE Sectorial'!I50*'FE Sectorial'!P50/1000</f>
        <v>0</v>
      </c>
      <c r="I51" s="17">
        <f>'Datos Actividad'!$S47*'FE Sectorial'!$H50*'FE Sectorial'!J50/1000/1000</f>
        <v>0</v>
      </c>
      <c r="J51" s="17">
        <f>'Datos Actividad'!$S47*'FE Sectorial'!$H50*'FE Sectorial'!K50/1000/1000</f>
        <v>0</v>
      </c>
      <c r="K51" s="17">
        <f>'Datos Actividad'!$S47*'FE Sectorial'!$H50*'FE Sectorial'!L50/1000/1000</f>
        <v>0</v>
      </c>
      <c r="L51" s="17">
        <f>'Datos Actividad'!$S47*'FE Sectorial'!$H50*'FE Sectorial'!M50/1000/1000</f>
        <v>0</v>
      </c>
      <c r="M51" s="17">
        <f>'Datos Actividad'!$S47*'FE Sectorial'!$H50*'FE Sectorial'!N50/1000/1000</f>
        <v>0</v>
      </c>
      <c r="N51" s="17">
        <f>'Datos Actividad'!$S47*'FE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Actividad'!$S48*'FE Sectorial'!$H51*'FE Sectorial'!I51*'FE Sectorial'!P51/1000</f>
        <v>34653.158337599998</v>
      </c>
      <c r="I52" s="17">
        <f>'Datos Actividad'!$S48*'FE Sectorial'!$H51*'FE Sectorial'!J51/1000/1000</f>
        <v>1.3567127999999997</v>
      </c>
      <c r="J52" s="17">
        <f>'Datos Actividad'!$S48*'FE Sectorial'!$H51*'FE Sectorial'!K51/1000/1000</f>
        <v>0.27134256000000001</v>
      </c>
      <c r="K52" s="17">
        <f>'Datos Actividad'!$S48*'FE Sectorial'!$H51*'FE Sectorial'!L51/1000/1000</f>
        <v>90.447519999999997</v>
      </c>
      <c r="L52" s="17">
        <f>'Datos Actividad'!$S48*'FE Sectorial'!$H51*'FE Sectorial'!M51/1000/1000</f>
        <v>4.5223760000000004</v>
      </c>
      <c r="M52" s="17">
        <f>'Datos Actividad'!$S48*'FE Sectorial'!$H51*'FE Sectorial'!N51/1000/1000</f>
        <v>2.2611880000000002</v>
      </c>
      <c r="N52" s="17">
        <f>'Datos Actividad'!$S48*'FE Sectorial'!$H51*'FE Sectorial'!O51/1000/1000</f>
        <v>89.552000000000007</v>
      </c>
      <c r="O52" s="87">
        <f>IF(D52&lt;400,H52+I52*'Factores generales'!$M$41+J52*'Factores generales'!$N$41,I52*'Factores generales'!$M$41+J52*'Factores generales'!$N$41)</f>
        <v>34765.765499999994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Actividad'!$S49*'FE Sectorial'!$H52*'FE Sectorial'!I52*'FE Sectorial'!P52/1000</f>
        <v>362142.69789160468</v>
      </c>
      <c r="I53" s="17">
        <f>'Datos Actividad'!$S49*'FE Sectorial'!$H52*'FE Sectorial'!J52/1000/1000</f>
        <v>124.87679237641538</v>
      </c>
      <c r="J53" s="17">
        <f>'Datos Actividad'!$S49*'FE Sectorial'!$H52*'FE Sectorial'!K52/1000/1000</f>
        <v>16.650238983522051</v>
      </c>
      <c r="K53" s="17">
        <f>'Datos Actividad'!$S49*'FE Sectorial'!$H52*'FE Sectorial'!L52/1000/1000</f>
        <v>416.25597458805134</v>
      </c>
      <c r="L53" s="17">
        <f>'Datos Actividad'!$S49*'FE Sectorial'!$H52*'FE Sectorial'!M52/1000/1000</f>
        <v>16650.238983522053</v>
      </c>
      <c r="M53" s="17">
        <f>'Datos Actividad'!$S49*'FE Sectorial'!$H52*'FE Sectorial'!N52/1000/1000</f>
        <v>208.12798729402567</v>
      </c>
      <c r="N53" s="17">
        <f>'Datos Actividad'!$S49*'FE Sectorial'!$H52*'FE Sectorial'!O52/1000/1000</f>
        <v>0</v>
      </c>
      <c r="O53" s="87">
        <f>IF(D53&lt;400,H53+I53*'Factores generales'!$M$41+J53*'Factores generales'!$N$41,I53*'Factores generales'!$M$41+J53*'Factores generales'!$N$41)</f>
        <v>7783.9867247965594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Actividad'!$S50*'FE Sectorial'!$H53*'FE Sectorial'!I53*'FE Sectorial'!P53/1000</f>
        <v>95595.864000000001</v>
      </c>
      <c r="I54" s="17">
        <f>'Datos Actividad'!$S50*'FE Sectorial'!$H53*'FE Sectorial'!J53/1000/1000</f>
        <v>1.00048</v>
      </c>
      <c r="J54" s="17">
        <f>'Datos Actividad'!$S50*'FE Sectorial'!$H53*'FE Sectorial'!K53/1000/1000</f>
        <v>1.5007200000000003</v>
      </c>
      <c r="K54" s="17">
        <f>'Datos Actividad'!$S50*'FE Sectorial'!$H53*'FE Sectorial'!L53/1000/1000</f>
        <v>300.14400000000001</v>
      </c>
      <c r="L54" s="17">
        <f>'Datos Actividad'!$S50*'FE Sectorial'!$H53*'FE Sectorial'!M53/1000/1000</f>
        <v>150.072</v>
      </c>
      <c r="M54" s="17">
        <f>'Datos Actividad'!$S50*'FE Sectorial'!$H53*'FE Sectorial'!N53/1000/1000</f>
        <v>20.009599999999999</v>
      </c>
      <c r="N54" s="17">
        <f>'Datos Actividad'!$S50*'FE Sectorial'!$H53*'FE Sectorial'!O53/1000/1000</f>
        <v>0</v>
      </c>
      <c r="O54" s="87">
        <f>IF(D54&lt;400,H54+I54*'Factores generales'!$M$41+J54*'Factores generales'!$N$41,I54*'Factores generales'!$M$41+J54*'Factores generales'!$N$41)</f>
        <v>96082.097279999987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Actividad'!$S51*'FE Sectorial'!$H54*'FE Sectorial'!I54*'FE Sectorial'!P54/1000</f>
        <v>155.04652800000002</v>
      </c>
      <c r="I55" s="17">
        <f>'Datos Actividad'!$S51*'FE Sectorial'!$H54*'FE Sectorial'!J54/1000/1000</f>
        <v>4.7736000000000008E-2</v>
      </c>
      <c r="J55" s="17">
        <f>'Datos Actividad'!$S51*'FE Sectorial'!$H54*'FE Sectorial'!K54/1000/1000</f>
        <v>6.3648000000000003E-3</v>
      </c>
      <c r="K55" s="17">
        <f>'Datos Actividad'!$S51*'FE Sectorial'!$H54*'FE Sectorial'!L54/1000/1000</f>
        <v>0.15912000000000004</v>
      </c>
      <c r="L55" s="17">
        <f>'Datos Actividad'!$S51*'FE Sectorial'!$H54*'FE Sectorial'!M54/1000/1000</f>
        <v>3.1824000000000003</v>
      </c>
      <c r="M55" s="17">
        <f>'Datos Actividad'!$S51*'FE Sectorial'!$H54*'FE Sectorial'!N54/1000/1000</f>
        <v>7.956000000000002E-2</v>
      </c>
      <c r="N55" s="17">
        <f>'Datos Actividad'!$S51*'FE Sectorial'!$H54*'FE Sectorial'!O54/1000/1000</f>
        <v>0.40800000000000003</v>
      </c>
      <c r="O55" s="87">
        <f>IF(D55&lt;400,H55+I55*'Factores generales'!$M$41+J55*'Factores generales'!$N$41,I55*'Factores generales'!$M$41+J55*'Factores generales'!$N$41)</f>
        <v>2.9755440000000002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782092.63006855198</v>
      </c>
      <c r="I56" s="134">
        <f>SUM(I57:I62)</f>
        <v>562.91512791241541</v>
      </c>
      <c r="J56" s="134">
        <f t="shared" ref="J56:O56" si="14">SUM(J57:J62)</f>
        <v>74.710341577122051</v>
      </c>
      <c r="K56" s="134">
        <f t="shared" si="14"/>
        <v>3925.7196869880513</v>
      </c>
      <c r="L56" s="134">
        <f t="shared" si="14"/>
        <v>69044.308679602051</v>
      </c>
      <c r="M56" s="134">
        <f t="shared" si="14"/>
        <v>982.62354897402554</v>
      </c>
      <c r="N56" s="134">
        <f t="shared" si="14"/>
        <v>667.49403999999993</v>
      </c>
      <c r="O56" s="134">
        <f t="shared" si="14"/>
        <v>817074.05364362057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Actividad'!$S53*'FE Sectorial'!$H56*'FE Sectorial'!I56*'FE Sectorial'!P56/1000</f>
        <v>744046.066333152</v>
      </c>
      <c r="I57" s="17">
        <f>'Datos Actividad'!$S53*'FE Sectorial'!$H56*'FE Sectorial'!J56/1000/1000</f>
        <v>13.329500736</v>
      </c>
      <c r="J57" s="17">
        <f>'Datos Actividad'!$S53*'FE Sectorial'!$H56*'FE Sectorial'!K56/1000/1000</f>
        <v>1.3329500736</v>
      </c>
      <c r="K57" s="17">
        <f>'Datos Actividad'!$S53*'FE Sectorial'!$H56*'FE Sectorial'!L56/1000/1000</f>
        <v>1999.4251104</v>
      </c>
      <c r="L57" s="17">
        <f>'Datos Actividad'!$S53*'FE Sectorial'!$H56*'FE Sectorial'!M56/1000/1000</f>
        <v>399.88502207999994</v>
      </c>
      <c r="M57" s="17">
        <f>'Datos Actividad'!$S53*'FE Sectorial'!$H56*'FE Sectorial'!N56/1000/1000</f>
        <v>66.64750368</v>
      </c>
      <c r="N57" s="17">
        <f>'Datos Actividad'!$S53*'FE Sectorial'!$H56*'FE Sectorial'!O56/1000/1000</f>
        <v>0</v>
      </c>
      <c r="O57" s="87">
        <f>IF(D57&lt;400,H57+I57*'Factores generales'!$M$41+J57*'Factores generales'!$N$41,I57*'Factores generales'!$M$41+J57*'Factores generales'!$N$41)</f>
        <v>744739.20037142397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Actividad'!$S54*'FE Sectorial'!$H57*'FE Sectorial'!I57*'FE Sectorial'!P57/1000</f>
        <v>28.389932999999996</v>
      </c>
      <c r="I58" s="17">
        <f>'Datos Actividad'!$S54*'FE Sectorial'!$H57*'FE Sectorial'!J57/1000/1000</f>
        <v>1.1610000000000001E-3</v>
      </c>
      <c r="J58" s="17">
        <f>'Datos Actividad'!$S54*'FE Sectorial'!$H57*'FE Sectorial'!K57/1000/1000</f>
        <v>2.3219999999999998E-4</v>
      </c>
      <c r="K58" s="17">
        <f>'Datos Actividad'!$S54*'FE Sectorial'!$H57*'FE Sectorial'!L57/1000/1000</f>
        <v>7.740000000000001E-2</v>
      </c>
      <c r="L58" s="17">
        <f>'Datos Actividad'!$S54*'FE Sectorial'!$H57*'FE Sectorial'!M57/1000/1000</f>
        <v>3.8700000000000002E-3</v>
      </c>
      <c r="M58" s="17">
        <f>'Datos Actividad'!$S54*'FE Sectorial'!$H57*'FE Sectorial'!N57/1000/1000</f>
        <v>1.9350000000000001E-3</v>
      </c>
      <c r="N58" s="17">
        <f>'Datos Actividad'!$S54*'FE Sectorial'!$H57*'FE Sectorial'!O57/1000/1000</f>
        <v>1.4039999999999999E-2</v>
      </c>
      <c r="O58" s="87">
        <f>IF(D58&lt;400,H58+I58*'Factores generales'!$M$41+J58*'Factores generales'!$N$41,I58*'Factores generales'!$M$41+J58*'Factores generales'!$N$41)</f>
        <v>28.486295999999996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Actividad'!$S55*'FE Sectorial'!$H58*'FE Sectorial'!I58*'FE Sectorial'!P58/1000</f>
        <v>38018.173802400001</v>
      </c>
      <c r="I59" s="17">
        <f>'Datos Actividad'!$S55*'FE Sectorial'!$H58*'FE Sectorial'!J58/1000/1000</f>
        <v>1.4884572</v>
      </c>
      <c r="J59" s="17">
        <f>'Datos Actividad'!$S55*'FE Sectorial'!$H58*'FE Sectorial'!K58/1000/1000</f>
        <v>0.29769143999999992</v>
      </c>
      <c r="K59" s="17">
        <f>'Datos Actividad'!$S55*'FE Sectorial'!$H58*'FE Sectorial'!L58/1000/1000</f>
        <v>99.23048</v>
      </c>
      <c r="L59" s="17">
        <f>'Datos Actividad'!$S55*'FE Sectorial'!$H58*'FE Sectorial'!M58/1000/1000</f>
        <v>4.9615240000000007</v>
      </c>
      <c r="M59" s="17">
        <f>'Datos Actividad'!$S55*'FE Sectorial'!$H58*'FE Sectorial'!N58/1000/1000</f>
        <v>2.4807620000000004</v>
      </c>
      <c r="N59" s="17">
        <f>'Datos Actividad'!$S55*'FE Sectorial'!$H58*'FE Sectorial'!O58/1000/1000</f>
        <v>98.248000000000005</v>
      </c>
      <c r="O59" s="87">
        <f>IF(D59&lt;400,H59+I59*'Factores generales'!$M$41+J59*'Factores generales'!$N$41,I59*'Factores generales'!$M$41+J59*'Factores generales'!$N$41)</f>
        <v>38141.715750000003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Actividad'!$S56*'FE Sectorial'!$H59*'FE Sectorial'!I59*'FE Sectorial'!P59/1000</f>
        <v>881760.69653999992</v>
      </c>
      <c r="I60" s="17">
        <f>'Datos Actividad'!$S56*'FE Sectorial'!$H59*'FE Sectorial'!J59/1000/1000</f>
        <v>304.05541260000007</v>
      </c>
      <c r="J60" s="17">
        <f>'Datos Actividad'!$S56*'FE Sectorial'!$H59*'FE Sectorial'!K59/1000/1000</f>
        <v>40.540721680000004</v>
      </c>
      <c r="K60" s="17">
        <f>'Datos Actividad'!$S56*'FE Sectorial'!$H59*'FE Sectorial'!L59/1000/1000</f>
        <v>1013.518042</v>
      </c>
      <c r="L60" s="17">
        <f>'Datos Actividad'!$S56*'FE Sectorial'!$H59*'FE Sectorial'!M59/1000/1000</f>
        <v>40540.721680000002</v>
      </c>
      <c r="M60" s="17">
        <f>'Datos Actividad'!$S56*'FE Sectorial'!$H59*'FE Sectorial'!N59/1000/1000</f>
        <v>506.75902100000002</v>
      </c>
      <c r="N60" s="17">
        <f>'Datos Actividad'!$S56*'FE Sectorial'!$H59*'FE Sectorial'!O59/1000/1000</f>
        <v>0</v>
      </c>
      <c r="O60" s="87">
        <f>IF(D60&lt;400,H60+I60*'Factores generales'!$M$41+J60*'Factores generales'!$N$41,I60*'Factores generales'!$M$41+J60*'Factores generales'!$N$41)</f>
        <v>18952.787385400003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Actividad'!$S57*'FE Sectorial'!$H60*'FE Sectorial'!I60*'FE Sectorial'!P60/1000</f>
        <v>216317.26771199997</v>
      </c>
      <c r="I61" s="17">
        <f>'Datos Actividad'!$S57*'FE Sectorial'!$H60*'FE Sectorial'!J60/1000/1000</f>
        <v>66.600143999999986</v>
      </c>
      <c r="J61" s="17">
        <f>'Datos Actividad'!$S57*'FE Sectorial'!$H60*'FE Sectorial'!K60/1000/1000</f>
        <v>8.8800191999999996</v>
      </c>
      <c r="K61" s="17">
        <f>'Datos Actividad'!$S57*'FE Sectorial'!$H60*'FE Sectorial'!L60/1000/1000</f>
        <v>222.00047999999998</v>
      </c>
      <c r="L61" s="17">
        <f>'Datos Actividad'!$S57*'FE Sectorial'!$H60*'FE Sectorial'!M60/1000/1000</f>
        <v>4440.0095999999994</v>
      </c>
      <c r="M61" s="17">
        <f>'Datos Actividad'!$S57*'FE Sectorial'!$H60*'FE Sectorial'!N60/1000/1000</f>
        <v>111.00023999999999</v>
      </c>
      <c r="N61" s="17">
        <f>'Datos Actividad'!$S57*'FE Sectorial'!$H60*'FE Sectorial'!O60/1000/1000</f>
        <v>569.23199999999997</v>
      </c>
      <c r="O61" s="87">
        <f>IF(D61&lt;400,H61+I61*'Factores generales'!$M$41+J61*'Factores generales'!$N$41,I61*'Factores generales'!$M$41+J61*'Factores generales'!$N$41)</f>
        <v>4151.4089759999997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Actividad'!$S58*'FE Sectorial'!$H61*'FE Sectorial'!I61*'FE Sectorial'!P61/1000</f>
        <v>514577.31189160456</v>
      </c>
      <c r="I62" s="17">
        <f>'Datos Actividad'!$S58*'FE Sectorial'!$H61*'FE Sectorial'!J61/1000/1000</f>
        <v>177.44045237641538</v>
      </c>
      <c r="J62" s="17">
        <f>'Datos Actividad'!$S58*'FE Sectorial'!$H61*'FE Sectorial'!K61/1000/1000</f>
        <v>23.658726983522051</v>
      </c>
      <c r="K62" s="17">
        <f>'Datos Actividad'!$S58*'FE Sectorial'!$H61*'FE Sectorial'!L61/1000/1000</f>
        <v>591.46817458805117</v>
      </c>
      <c r="L62" s="17">
        <f>'Datos Actividad'!$S58*'FE Sectorial'!$H61*'FE Sectorial'!M61/1000/1000</f>
        <v>23658.72698352205</v>
      </c>
      <c r="M62" s="17">
        <f>'Datos Actividad'!$S58*'FE Sectorial'!$H61*'FE Sectorial'!N61/1000/1000</f>
        <v>295.73408729402558</v>
      </c>
      <c r="N62" s="17">
        <f>'Datos Actividad'!$S58*'FE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11060.454864796558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2518223.3799425997</v>
      </c>
      <c r="I63" s="134">
        <f>SUM(I64:I69)</f>
        <v>1912.5387375764153</v>
      </c>
      <c r="J63" s="134">
        <f t="shared" ref="J63:O63" si="15">SUM(J64:J69)</f>
        <v>253.5312043301887</v>
      </c>
      <c r="K63" s="134">
        <f t="shared" si="15"/>
        <v>12991.285079254716</v>
      </c>
      <c r="L63" s="134">
        <f t="shared" si="15"/>
        <v>250297.79333618868</v>
      </c>
      <c r="M63" s="134">
        <f t="shared" si="15"/>
        <v>3337.4041626273588</v>
      </c>
      <c r="N63" s="134">
        <f t="shared" si="15"/>
        <v>9.7404399999999995</v>
      </c>
      <c r="O63" s="134">
        <f t="shared" si="15"/>
        <v>2636981.3667740636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Actividad'!$S60*'FE Sectorial'!$H63*'FE Sectorial'!I63*'FE Sectorial'!P63/1000</f>
        <v>2509191.4656599998</v>
      </c>
      <c r="I64" s="17">
        <f>'Datos Actividad'!$S60*'FE Sectorial'!$H63*'FE Sectorial'!J63/1000/1000</f>
        <v>44.951879999999996</v>
      </c>
      <c r="J64" s="17">
        <f>'Datos Actividad'!$S60*'FE Sectorial'!$H63*'FE Sectorial'!K63/1000/1000</f>
        <v>4.4951879999999997</v>
      </c>
      <c r="K64" s="17">
        <f>'Datos Actividad'!$S60*'FE Sectorial'!$H63*'FE Sectorial'!L63/1000/1000</f>
        <v>6742.7820000000002</v>
      </c>
      <c r="L64" s="17">
        <f>'Datos Actividad'!$S60*'FE Sectorial'!$H63*'FE Sectorial'!M63/1000/1000</f>
        <v>1348.5563999999999</v>
      </c>
      <c r="M64" s="17">
        <f>'Datos Actividad'!$S60*'FE Sectorial'!$H63*'FE Sectorial'!N63/1000/1000</f>
        <v>224.7594</v>
      </c>
      <c r="N64" s="17">
        <f>'Datos Actividad'!$S60*'FE Sectorial'!$H63*'FE Sectorial'!O63/1000/1000</f>
        <v>0</v>
      </c>
      <c r="O64" s="87">
        <f>IF(D64&lt;400,H64+I64*'Factores generales'!$M$41+J64*'Factores generales'!$N$41,I64*'Factores generales'!$M$41+J64*'Factores generales'!$N$41)</f>
        <v>2511528.9634199999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Actividad'!$S61*'FE Sectorial'!$H64*'FE Sectorial'!I64*'FE Sectorial'!P64/1000</f>
        <v>7409.772512999999</v>
      </c>
      <c r="I65" s="17">
        <f>'Datos Actividad'!$S61*'FE Sectorial'!$H64*'FE Sectorial'!J64/1000/1000</f>
        <v>0.30302100000000004</v>
      </c>
      <c r="J65" s="17">
        <f>'Datos Actividad'!$S61*'FE Sectorial'!$H64*'FE Sectorial'!K64/1000/1000</f>
        <v>6.0604199999999997E-2</v>
      </c>
      <c r="K65" s="17">
        <f>'Datos Actividad'!$S61*'FE Sectorial'!$H64*'FE Sectorial'!L64/1000/1000</f>
        <v>20.201400000000003</v>
      </c>
      <c r="L65" s="17">
        <f>'Datos Actividad'!$S61*'FE Sectorial'!$H64*'FE Sectorial'!M64/1000/1000</f>
        <v>1.01007</v>
      </c>
      <c r="M65" s="17">
        <f>'Datos Actividad'!$S61*'FE Sectorial'!$H64*'FE Sectorial'!N64/1000/1000</f>
        <v>0.50503500000000001</v>
      </c>
      <c r="N65" s="17">
        <f>'Datos Actividad'!$S61*'FE Sectorial'!$H64*'FE Sectorial'!O64/1000/1000</f>
        <v>3.6644399999999999</v>
      </c>
      <c r="O65" s="87">
        <f>IF(D65&lt;400,H65+I65*'Factores generales'!$M$41+J65*'Factores generales'!$N$41,I65*'Factores generales'!$M$41+J65*'Factores generales'!$N$41)</f>
        <v>7434.9232559999991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Actividad'!$S62*'FE Sectorial'!$H65*'FE Sectorial'!I65*'FE Sectorial'!P65/1000</f>
        <v>1622.1417696000001</v>
      </c>
      <c r="I66" s="17">
        <f>'Datos Actividad'!$S62*'FE Sectorial'!$H65*'FE Sectorial'!J65/1000/1000</f>
        <v>6.350879999999999E-2</v>
      </c>
      <c r="J66" s="17">
        <f>'Datos Actividad'!$S62*'FE Sectorial'!$H65*'FE Sectorial'!K65/1000/1000</f>
        <v>1.2701759999999998E-2</v>
      </c>
      <c r="K66" s="17">
        <f>'Datos Actividad'!$S62*'FE Sectorial'!$H65*'FE Sectorial'!L65/1000/1000</f>
        <v>4.2339200000000003</v>
      </c>
      <c r="L66" s="17">
        <f>'Datos Actividad'!$S62*'FE Sectorial'!$H65*'FE Sectorial'!M65/1000/1000</f>
        <v>0.211696</v>
      </c>
      <c r="M66" s="17">
        <f>'Datos Actividad'!$S62*'FE Sectorial'!$H65*'FE Sectorial'!N65/1000/1000</f>
        <v>0.105848</v>
      </c>
      <c r="N66" s="17">
        <f>'Datos Actividad'!$S62*'FE Sectorial'!$H65*'FE Sectorial'!O65/1000/1000</f>
        <v>4.1920000000000002</v>
      </c>
      <c r="O66" s="87">
        <f>IF(D66&lt;400,H66+I66*'Factores generales'!$M$41+J66*'Factores generales'!$N$41,I66*'Factores generales'!$M$41+J66*'Factores generales'!$N$41)</f>
        <v>1627.413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Actividad'!$S63*'FE Sectorial'!$H66*'FE Sectorial'!I66*'FE Sectorial'!P66/1000</f>
        <v>4996643.9470599992</v>
      </c>
      <c r="I67" s="17">
        <f>'Datos Actividad'!$S63*'FE Sectorial'!$H66*'FE Sectorial'!J66/1000/1000</f>
        <v>1722.9806713999999</v>
      </c>
      <c r="J67" s="17">
        <f>'Datos Actividad'!$S63*'FE Sectorial'!$H66*'FE Sectorial'!K66/1000/1000</f>
        <v>229.73075618666664</v>
      </c>
      <c r="K67" s="17">
        <f>'Datos Actividad'!$S63*'FE Sectorial'!$H66*'FE Sectorial'!L66/1000/1000</f>
        <v>5743.2689046666655</v>
      </c>
      <c r="L67" s="17">
        <f>'Datos Actividad'!$S63*'FE Sectorial'!$H66*'FE Sectorial'!M66/1000/1000</f>
        <v>229730.75618666664</v>
      </c>
      <c r="M67" s="17">
        <f>'Datos Actividad'!$S63*'FE Sectorial'!$H66*'FE Sectorial'!N66/1000/1000</f>
        <v>2871.6344523333328</v>
      </c>
      <c r="N67" s="17">
        <f>'Datos Actividad'!$S63*'FE Sectorial'!$H66*'FE Sectorial'!O66/1000/1000</f>
        <v>0</v>
      </c>
      <c r="O67" s="87">
        <f>IF(D67&lt;400,H67+I67*'Factores generales'!$M$41+J67*'Factores generales'!$N$41,I67*'Factores generales'!$M$41+J67*'Factores generales'!$N$41)</f>
        <v>107399.12851726665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Actividad'!$S64*'FE Sectorial'!$H67*'FE Sectorial'!I67*'FE Sectorial'!P67/1000</f>
        <v>715.95014400000002</v>
      </c>
      <c r="I68" s="17">
        <f>'Datos Actividad'!$S64*'FE Sectorial'!$H67*'FE Sectorial'!J67/1000/1000</f>
        <v>0.22042799999999996</v>
      </c>
      <c r="J68" s="17">
        <f>'Datos Actividad'!$S64*'FE Sectorial'!$H67*'FE Sectorial'!K67/1000/1000</f>
        <v>2.9390399999999997E-2</v>
      </c>
      <c r="K68" s="17">
        <f>'Datos Actividad'!$S64*'FE Sectorial'!$H67*'FE Sectorial'!L67/1000/1000</f>
        <v>0.73475999999999997</v>
      </c>
      <c r="L68" s="17">
        <f>'Datos Actividad'!$S64*'FE Sectorial'!$H67*'FE Sectorial'!M67/1000/1000</f>
        <v>14.695199999999998</v>
      </c>
      <c r="M68" s="17">
        <f>'Datos Actividad'!$S64*'FE Sectorial'!$H67*'FE Sectorial'!N67/1000/1000</f>
        <v>0.36737999999999998</v>
      </c>
      <c r="N68" s="17">
        <f>'Datos Actividad'!$S64*'FE Sectorial'!$H67*'FE Sectorial'!O67/1000/1000</f>
        <v>1.8839999999999997</v>
      </c>
      <c r="O68" s="87">
        <f>IF(D68&lt;400,H68+I68*'Factores generales'!$M$41+J68*'Factores generales'!$N$41,I68*'Factores generales'!$M$41+J68*'Factores generales'!$N$41)</f>
        <v>13.740011999999997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Actividad'!$S65*'FE Sectorial'!$H68*'FE Sectorial'!I68*'FE Sectorial'!P68/1000</f>
        <v>417655.76229160459</v>
      </c>
      <c r="I69" s="17">
        <f>'Datos Actividad'!$S65*'FE Sectorial'!$H68*'FE Sectorial'!J68/1000/1000</f>
        <v>144.01922837641538</v>
      </c>
      <c r="J69" s="17">
        <f>'Datos Actividad'!$S65*'FE Sectorial'!$H68*'FE Sectorial'!K68/1000/1000</f>
        <v>19.202563783522052</v>
      </c>
      <c r="K69" s="17">
        <f>'Datos Actividad'!$S65*'FE Sectorial'!$H68*'FE Sectorial'!L68/1000/1000</f>
        <v>480.06409458805126</v>
      </c>
      <c r="L69" s="17">
        <f>'Datos Actividad'!$S65*'FE Sectorial'!$H68*'FE Sectorial'!M68/1000/1000</f>
        <v>19202.563783522048</v>
      </c>
      <c r="M69" s="17">
        <f>'Datos Actividad'!$S65*'FE Sectorial'!$H68*'FE Sectorial'!N68/1000/1000</f>
        <v>240.03204729402563</v>
      </c>
      <c r="N69" s="17">
        <f>'Datos Actividad'!$S65*'FE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8977.1985687965589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8812966.4856576715</v>
      </c>
      <c r="I70" s="134">
        <f t="shared" si="16"/>
        <v>399.98806517264421</v>
      </c>
      <c r="J70" s="134">
        <f t="shared" si="16"/>
        <v>59.459633634758283</v>
      </c>
      <c r="K70" s="134">
        <f t="shared" si="16"/>
        <v>24503.945949972553</v>
      </c>
      <c r="L70" s="134">
        <f t="shared" si="16"/>
        <v>26938.039174521993</v>
      </c>
      <c r="M70" s="134">
        <f t="shared" si="16"/>
        <v>1165.3497421643046</v>
      </c>
      <c r="N70" s="134">
        <f t="shared" si="16"/>
        <v>4512.885932197707</v>
      </c>
      <c r="O70" s="134">
        <f t="shared" si="16"/>
        <v>8839798.7214530744</v>
      </c>
    </row>
    <row r="71" spans="1:15" outlineLevel="1" x14ac:dyDescent="0.25">
      <c r="B71" s="1" t="s">
        <v>36</v>
      </c>
      <c r="G71" s="1"/>
      <c r="H71" s="15">
        <f>H72+H73+H74+H76</f>
        <v>3105739.8187099677</v>
      </c>
      <c r="I71" s="15">
        <f>SUM(I72:I76)</f>
        <v>145.95145605723638</v>
      </c>
      <c r="J71" s="15">
        <f t="shared" ref="J71:O71" si="17">SUM(J72:J76)</f>
        <v>24.310821131454638</v>
      </c>
      <c r="K71" s="15">
        <f t="shared" si="17"/>
        <v>8865.7564827709284</v>
      </c>
      <c r="L71" s="15">
        <f t="shared" si="17"/>
        <v>8373.7735410654623</v>
      </c>
      <c r="M71" s="15">
        <f t="shared" si="17"/>
        <v>488.16101270472848</v>
      </c>
      <c r="N71" s="15">
        <f t="shared" si="17"/>
        <v>1346.0177597883599</v>
      </c>
      <c r="O71" s="15">
        <f t="shared" si="17"/>
        <v>3116341.1538379211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Actividad'!$S68*'FE Sectorial'!$H71*'FE Sectorial'!I71*'FE Sectorial'!P71/1000</f>
        <v>2656146.2852952718</v>
      </c>
      <c r="I72" s="17">
        <f>'Datos Actividad'!$S68*'FE Sectorial'!$H71*'FE Sectorial'!J71/1000/1000</f>
        <v>47.584558895999997</v>
      </c>
      <c r="J72" s="17">
        <f>'Datos Actividad'!$S68*'FE Sectorial'!$H71*'FE Sectorial'!K71/1000/1000</f>
        <v>4.7584558896000004</v>
      </c>
      <c r="K72" s="17">
        <f>'Datos Actividad'!$S68*'FE Sectorial'!$H71*'FE Sectorial'!L71/1000/1000</f>
        <v>7137.6838343999998</v>
      </c>
      <c r="L72" s="17">
        <f>'Datos Actividad'!$S68*'FE Sectorial'!$H71*'FE Sectorial'!M71/1000/1000</f>
        <v>1427.5367668799997</v>
      </c>
      <c r="M72" s="17">
        <f>'Datos Actividad'!$S68*'FE Sectorial'!$H71*'FE Sectorial'!N71/1000/1000</f>
        <v>237.92279447999999</v>
      </c>
      <c r="N72" s="17">
        <f>'Datos Actividad'!$S68*'FE Sectorial'!$H71*'FE Sectorial'!O71/1000/1000</f>
        <v>0</v>
      </c>
      <c r="O72" s="87">
        <f>IF(D72&lt;400,H72+I72*'Factores generales'!$M$41+J72*'Factores generales'!$N$41,I72*'Factores generales'!$M$41+J72*'Factores generales'!$N$41)</f>
        <v>2658620.682357864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Actividad'!$S69*'FE Sectorial'!$H72*'FE Sectorial'!I72*'FE Sectorial'!P72/1000</f>
        <v>1466.8132050000002</v>
      </c>
      <c r="I73" s="17">
        <f>'Datos Actividad'!$S69*'FE Sectorial'!$H72*'FE Sectorial'!J72/1000/1000</f>
        <v>5.9984999999999997E-2</v>
      </c>
      <c r="J73" s="17">
        <f>'Datos Actividad'!$S69*'FE Sectorial'!$H72*'FE Sectorial'!K72/1000/1000</f>
        <v>1.1997000000000001E-2</v>
      </c>
      <c r="K73" s="17">
        <f>'Datos Actividad'!$S69*'FE Sectorial'!$H72*'FE Sectorial'!L72/1000/1000</f>
        <v>3.9990000000000001</v>
      </c>
      <c r="L73" s="17">
        <f>'Datos Actividad'!$S69*'FE Sectorial'!$H72*'FE Sectorial'!M72/1000/1000</f>
        <v>0.19994999999999999</v>
      </c>
      <c r="M73" s="17">
        <f>'Datos Actividad'!$S69*'FE Sectorial'!$H72*'FE Sectorial'!N72/1000/1000</f>
        <v>9.9974999999999994E-2</v>
      </c>
      <c r="N73" s="17">
        <f>'Datos Actividad'!$S69*'FE Sectorial'!$H72*'FE Sectorial'!O72/1000/1000</f>
        <v>0.72539999999999993</v>
      </c>
      <c r="O73" s="87">
        <f>IF(D73&lt;400,H73+I73*'Factores generales'!$M$41+J73*'Factores generales'!$N$41,I73*'Factores generales'!$M$41+J73*'Factores generales'!$N$41)</f>
        <v>1471.7919600000002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Actividad'!$S70*'FE Sectorial'!$H73*'FE Sectorial'!I73*'FE Sectorial'!P73/1000</f>
        <v>395322.40953947371</v>
      </c>
      <c r="I74" s="17">
        <f>'Datos Actividad'!$S70*'FE Sectorial'!$H73*'FE Sectorial'!J73/1000/1000</f>
        <v>4.1373355263157903</v>
      </c>
      <c r="J74" s="17">
        <f>'Datos Actividad'!$S70*'FE Sectorial'!$H73*'FE Sectorial'!K73/1000/1000</f>
        <v>6.206003289473685</v>
      </c>
      <c r="K74" s="17">
        <f>'Datos Actividad'!$S70*'FE Sectorial'!$H73*'FE Sectorial'!L73/1000/1000</f>
        <v>1241.2006578947371</v>
      </c>
      <c r="L74" s="17">
        <f>'Datos Actividad'!$S70*'FE Sectorial'!$H73*'FE Sectorial'!M73/1000/1000</f>
        <v>620.60032894736855</v>
      </c>
      <c r="M74" s="17">
        <f>'Datos Actividad'!$S70*'FE Sectorial'!$H73*'FE Sectorial'!N73/1000/1000</f>
        <v>82.74671052631578</v>
      </c>
      <c r="N74" s="17">
        <f>'Datos Actividad'!$S70*'FE Sectorial'!$H73*'FE Sectorial'!O73/1000/1000</f>
        <v>0</v>
      </c>
      <c r="O74" s="87">
        <f>IF(D74&lt;400,H74+I74*'Factores generales'!$M$41+J74*'Factores generales'!$N$41,I74*'Factores generales'!$M$41+J74*'Factores generales'!$N$41)</f>
        <v>397333.1546052632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Actividad'!$S71*'FE Sectorial'!$H74*'FE Sectorial'!I74*'FE Sectorial'!P74/1000</f>
        <v>304012.79999999999</v>
      </c>
      <c r="I75" s="17">
        <f>'Datos Actividad'!$S71*'FE Sectorial'!$H74*'FE Sectorial'!J74/1000/1000</f>
        <v>93.6</v>
      </c>
      <c r="J75" s="17">
        <f>'Datos Actividad'!$S71*'FE Sectorial'!$H74*'FE Sectorial'!K74/1000/1000</f>
        <v>12.48</v>
      </c>
      <c r="K75" s="17">
        <f>'Datos Actividad'!$S71*'FE Sectorial'!$H74*'FE Sectorial'!L74/1000/1000</f>
        <v>312</v>
      </c>
      <c r="L75" s="17">
        <f>'Datos Actividad'!$S71*'FE Sectorial'!$H74*'FE Sectorial'!M74/1000/1000</f>
        <v>6240</v>
      </c>
      <c r="M75" s="17">
        <f>'Datos Actividad'!$S71*'FE Sectorial'!$H74*'FE Sectorial'!N74/1000/1000</f>
        <v>156</v>
      </c>
      <c r="N75" s="17">
        <f>'Datos Actividad'!$S71*'FE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Actividad'!$S72*'FE Sectorial'!$H75*'FE Sectorial'!I75*'FE Sectorial'!P75/1000</f>
        <v>52804.310670222214</v>
      </c>
      <c r="I76" s="17">
        <f>'Datos Actividad'!$S72*'FE Sectorial'!$H75*'FE Sectorial'!J75/1000/1000</f>
        <v>0.56957663492063493</v>
      </c>
      <c r="J76" s="17">
        <f>'Datos Actividad'!$S72*'FE Sectorial'!$H75*'FE Sectorial'!K75/1000/1000</f>
        <v>0.85436495238095256</v>
      </c>
      <c r="K76" s="17">
        <f>'Datos Actividad'!$S72*'FE Sectorial'!$H75*'FE Sectorial'!L75/1000/1000</f>
        <v>170.87299047619049</v>
      </c>
      <c r="L76" s="17">
        <f>'Datos Actividad'!$S72*'FE Sectorial'!$H75*'FE Sectorial'!M75/1000/1000</f>
        <v>85.436495238095247</v>
      </c>
      <c r="M76" s="17">
        <f>'Datos Actividad'!$S72*'FE Sectorial'!$H75*'FE Sectorial'!N75/1000/1000</f>
        <v>11.391532698412698</v>
      </c>
      <c r="N76" s="17">
        <f>'Datos Actividad'!$S72*'FE Sectorial'!$H75*'FE Sectorial'!O75/1000/1000</f>
        <v>545.2923597883597</v>
      </c>
      <c r="O76" s="87">
        <f>IF(D76&lt;400,H76+I76*'Factores generales'!$M$41+J76*'Factores generales'!$N$41,I76*'Factores generales'!$M$41+J76*'Factores generales'!$N$41)</f>
        <v>53081.124914793647</v>
      </c>
    </row>
    <row r="77" spans="1:15" outlineLevel="1" x14ac:dyDescent="0.25">
      <c r="B77" s="1" t="s">
        <v>35</v>
      </c>
      <c r="G77" s="1"/>
      <c r="H77" s="15">
        <f t="shared" ref="H77:O77" si="18">H78+H79</f>
        <v>191037.60528494403</v>
      </c>
      <c r="I77" s="15">
        <f t="shared" si="18"/>
        <v>3.422416992</v>
      </c>
      <c r="J77" s="15">
        <f t="shared" si="18"/>
        <v>0.34224169920000003</v>
      </c>
      <c r="K77" s="15">
        <f t="shared" si="18"/>
        <v>513.36254880000001</v>
      </c>
      <c r="L77" s="15">
        <f t="shared" si="18"/>
        <v>102.67250976</v>
      </c>
      <c r="M77" s="15">
        <f t="shared" si="18"/>
        <v>17.112084960000001</v>
      </c>
      <c r="N77" s="15">
        <f t="shared" si="18"/>
        <v>0</v>
      </c>
      <c r="O77" s="15">
        <f t="shared" si="18"/>
        <v>191215.57096852805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Actividad'!$S74*'FE Sectorial'!$H77*'FE Sectorial'!I77*'FE Sectorial'!P77/1000</f>
        <v>191037.60528494403</v>
      </c>
      <c r="I78" s="17">
        <f>'Datos Actividad'!$S74*'FE Sectorial'!$H77*'FE Sectorial'!J77/1000/1000</f>
        <v>3.422416992</v>
      </c>
      <c r="J78" s="17">
        <f>'Datos Actividad'!$S74*'FE Sectorial'!$H77*'FE Sectorial'!K77/1000/1000</f>
        <v>0.34224169920000003</v>
      </c>
      <c r="K78" s="17">
        <f>'Datos Actividad'!$S74*'FE Sectorial'!$H77*'FE Sectorial'!L77/1000/1000</f>
        <v>513.36254880000001</v>
      </c>
      <c r="L78" s="17">
        <f>'Datos Actividad'!$S74*'FE Sectorial'!$H77*'FE Sectorial'!M77/1000/1000</f>
        <v>102.67250976</v>
      </c>
      <c r="M78" s="17">
        <f>'Datos Actividad'!$S74*'FE Sectorial'!$H77*'FE Sectorial'!N77/1000/1000</f>
        <v>17.112084960000001</v>
      </c>
      <c r="N78" s="17">
        <f>'Datos Actividad'!$S74*'FE Sectorial'!$H77*'FE Sectorial'!O77/1000/1000</f>
        <v>0</v>
      </c>
      <c r="O78" s="87">
        <f>IF(D78&lt;400,H78+I78*'Factores generales'!$M$41+J78*'Factores generales'!$N$41,I78*'Factores generales'!$M$41+J78*'Factores generales'!$N$41)</f>
        <v>191215.57096852805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Actividad'!$S75*'FE Sectorial'!$H78*'FE Sectorial'!I78*'FE Sectorial'!P78/1000</f>
        <v>0</v>
      </c>
      <c r="I79" s="17">
        <f>'Datos Actividad'!$S75*'FE Sectorial'!$H78*'FE Sectorial'!J78/1000/1000</f>
        <v>0</v>
      </c>
      <c r="J79" s="17">
        <f>'Datos Actividad'!$S75*'FE Sectorial'!$H78*'FE Sectorial'!K78/1000/1000</f>
        <v>0</v>
      </c>
      <c r="K79" s="17">
        <f>'Datos Actividad'!$S75*'FE Sectorial'!$H78*'FE Sectorial'!L78/1000/1000</f>
        <v>0</v>
      </c>
      <c r="L79" s="17">
        <f>'Datos Actividad'!$S75*'FE Sectorial'!$H78*'FE Sectorial'!M78/1000/1000</f>
        <v>0</v>
      </c>
      <c r="M79" s="17">
        <f>'Datos Actividad'!$S75*'FE Sectorial'!$H78*'FE Sectorial'!N78/1000/1000</f>
        <v>0</v>
      </c>
      <c r="N79" s="17">
        <f>'Datos Actividad'!$S75*'FE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81096.755010480003</v>
      </c>
      <c r="I80" s="15">
        <f>SUM(I81:I85)</f>
        <v>122.12308001641539</v>
      </c>
      <c r="J80" s="15">
        <f t="shared" ref="J80:O80" si="19">SUM(J81:J85)</f>
        <v>16.234659847522053</v>
      </c>
      <c r="K80" s="15">
        <f t="shared" si="19"/>
        <v>620.15989058805133</v>
      </c>
      <c r="L80" s="15">
        <f t="shared" si="19"/>
        <v>16132.939692722051</v>
      </c>
      <c r="M80" s="15">
        <f t="shared" si="19"/>
        <v>208.38107549402562</v>
      </c>
      <c r="N80" s="15">
        <f t="shared" si="19"/>
        <v>1.5599999999999998E-3</v>
      </c>
      <c r="O80" s="15">
        <f t="shared" si="19"/>
        <v>88694.084243556557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Actividad'!$S77*'FE Sectorial'!$H80*'FE Sectorial'!I80*'FE Sectorial'!P80/1000</f>
        <v>81093.600573479998</v>
      </c>
      <c r="I81" s="17">
        <f>'Datos Actividad'!$S77*'FE Sectorial'!$H80*'FE Sectorial'!J80/1000/1000</f>
        <v>1.4527826400000001</v>
      </c>
      <c r="J81" s="17">
        <f>'Datos Actividad'!$S77*'FE Sectorial'!$H80*'FE Sectorial'!K80/1000/1000</f>
        <v>0.14527826400000005</v>
      </c>
      <c r="K81" s="17">
        <f>'Datos Actividad'!$S77*'FE Sectorial'!$H80*'FE Sectorial'!L80/1000/1000</f>
        <v>217.91739600000002</v>
      </c>
      <c r="L81" s="17">
        <f>'Datos Actividad'!$S77*'FE Sectorial'!$H80*'FE Sectorial'!M80/1000/1000</f>
        <v>43.583479199999999</v>
      </c>
      <c r="M81" s="17">
        <f>'Datos Actividad'!$S77*'FE Sectorial'!$H80*'FE Sectorial'!N80/1000/1000</f>
        <v>7.2639132000000011</v>
      </c>
      <c r="N81" s="17">
        <f>'Datos Actividad'!$S77*'FE Sectorial'!$H80*'FE Sectorial'!O80/1000/1000</f>
        <v>0</v>
      </c>
      <c r="O81" s="87">
        <f>IF(D81&lt;400,H81+I81*'Factores generales'!$M$41+J81*'Factores generales'!$N$41,I81*'Factores generales'!$M$41+J81*'Factores generales'!$N$41)</f>
        <v>81169.145270759996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Actividad'!$S78*'FE Sectorial'!$H81*'FE Sectorial'!I81*'FE Sectorial'!P81/1000</f>
        <v>3.1544369999999993</v>
      </c>
      <c r="I82" s="17">
        <f>'Datos Actividad'!$S78*'FE Sectorial'!$H81*'FE Sectorial'!J81/1000/1000</f>
        <v>1.2899999999999996E-4</v>
      </c>
      <c r="J82" s="17">
        <f>'Datos Actividad'!$S78*'FE Sectorial'!$H81*'FE Sectorial'!K81/1000/1000</f>
        <v>2.5799999999999994E-5</v>
      </c>
      <c r="K82" s="17">
        <f>'Datos Actividad'!$S78*'FE Sectorial'!$H81*'FE Sectorial'!L81/1000/1000</f>
        <v>8.5999999999999983E-3</v>
      </c>
      <c r="L82" s="17">
        <f>'Datos Actividad'!$S78*'FE Sectorial'!$H81*'FE Sectorial'!M81/1000/1000</f>
        <v>4.2999999999999994E-4</v>
      </c>
      <c r="M82" s="17">
        <f>'Datos Actividad'!$S78*'FE Sectorial'!$H81*'FE Sectorial'!N81/1000/1000</f>
        <v>2.1499999999999997E-4</v>
      </c>
      <c r="N82" s="17">
        <f>'Datos Actividad'!$S78*'FE Sectorial'!$H81*'FE Sectorial'!O81/1000/1000</f>
        <v>1.5599999999999998E-3</v>
      </c>
      <c r="O82" s="87">
        <f>IF(D82&lt;400,H82+I82*'Factores generales'!$M$41+J82*'Factores generales'!$N$41,I82*'Factores generales'!$M$41+J82*'Factores generales'!$N$41)</f>
        <v>3.1651439999999993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Actividad'!$S79*'FE Sectorial'!$H82*'FE Sectorial'!I82*'FE Sectorial'!P82/1000</f>
        <v>0</v>
      </c>
      <c r="I83" s="95">
        <f>'Datos Actividad'!$S79*'FE Sectorial'!$H82*'FE Sectorial'!J82/1000/1000</f>
        <v>0</v>
      </c>
      <c r="J83" s="17">
        <f>'Datos Actividad'!$S79*'FE Sectorial'!$H82*'FE Sectorial'!K82/1000/1000</f>
        <v>0</v>
      </c>
      <c r="K83" s="17">
        <f>'Datos Actividad'!$S79*'FE Sectorial'!$H82*'FE Sectorial'!L82/1000/1000</f>
        <v>0</v>
      </c>
      <c r="L83" s="17">
        <f>'Datos Actividad'!$S79*'FE Sectorial'!$H82*'FE Sectorial'!M82/1000/1000</f>
        <v>0</v>
      </c>
      <c r="M83" s="17">
        <f>'Datos Actividad'!$S79*'FE Sectorial'!$H82*'FE Sectorial'!N82/1000/1000</f>
        <v>0</v>
      </c>
      <c r="N83" s="17">
        <f>'Datos Actividad'!$S79*'FE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Actividad'!$S80*'FE Sectorial'!$H83*'FE Sectorial'!I83*'FE Sectorial'!P83/1000</f>
        <v>0</v>
      </c>
      <c r="I84" s="95">
        <f>'Datos Actividad'!$S80*'FE Sectorial'!$H83*'FE Sectorial'!J83/1000/1000</f>
        <v>0</v>
      </c>
      <c r="J84" s="17">
        <f>'Datos Actividad'!$S80*'FE Sectorial'!$H83*'FE Sectorial'!K83/1000/1000</f>
        <v>0</v>
      </c>
      <c r="K84" s="17">
        <f>'Datos Actividad'!$S80*'FE Sectorial'!$H83*'FE Sectorial'!L83/1000/1000</f>
        <v>0</v>
      </c>
      <c r="L84" s="17">
        <f>'Datos Actividad'!$S80*'FE Sectorial'!$H83*'FE Sectorial'!M83/1000/1000</f>
        <v>0</v>
      </c>
      <c r="M84" s="17">
        <f>'Datos Actividad'!$S80*'FE Sectorial'!$H83*'FE Sectorial'!N83/1000/1000</f>
        <v>0</v>
      </c>
      <c r="N84" s="17">
        <f>'Datos Actividad'!$S80*'FE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Actividad'!$S81*'FE Sectorial'!$H84*'FE Sectorial'!I84*'FE Sectorial'!P84/1000</f>
        <v>349943.48829160456</v>
      </c>
      <c r="I85" s="95">
        <f>'Datos Actividad'!$S81*'FE Sectorial'!$H84*'FE Sectorial'!J84/1000/1000</f>
        <v>120.67016837641539</v>
      </c>
      <c r="J85" s="17">
        <f>'Datos Actividad'!$S81*'FE Sectorial'!$H84*'FE Sectorial'!K84/1000/1000</f>
        <v>16.089355783522052</v>
      </c>
      <c r="K85" s="17">
        <f>'Datos Actividad'!$S81*'FE Sectorial'!$H84*'FE Sectorial'!L84/1000/1000</f>
        <v>402.23389458805127</v>
      </c>
      <c r="L85" s="17">
        <f>'Datos Actividad'!$S81*'FE Sectorial'!$H84*'FE Sectorial'!M84/1000/1000</f>
        <v>16089.355783522051</v>
      </c>
      <c r="M85" s="17">
        <f>'Datos Actividad'!$S81*'FE Sectorial'!$H84*'FE Sectorial'!N84/1000/1000</f>
        <v>201.11694729402564</v>
      </c>
      <c r="N85" s="17">
        <f>'Datos Actividad'!$S81*'FE Sectorial'!$H84*'FE Sectorial'!O84/1000/1000</f>
        <v>0</v>
      </c>
      <c r="O85" s="87">
        <f>IF(D85&lt;400,H85+I85*'Factores generales'!$M$41+J85*'Factores generales'!$N$41,I85*'Factores generales'!$M$41+J85*'Factores generales'!$N$41)</f>
        <v>7521.7738287965594</v>
      </c>
    </row>
    <row r="86" spans="2:15" outlineLevel="1" x14ac:dyDescent="0.25">
      <c r="B86" s="1" t="s">
        <v>38</v>
      </c>
      <c r="G86" s="1"/>
      <c r="H86" s="15">
        <f>H87+H88</f>
        <v>227352.80553400799</v>
      </c>
      <c r="I86" s="15">
        <f>I87+I88+I89</f>
        <v>4.073217144</v>
      </c>
      <c r="J86" s="15">
        <f t="shared" ref="J86:O86" si="20">J87+J88+J89</f>
        <v>0.40736041440000004</v>
      </c>
      <c r="K86" s="15">
        <f t="shared" si="20"/>
        <v>610.95032159999994</v>
      </c>
      <c r="L86" s="15">
        <f t="shared" si="20"/>
        <v>122.18619431999998</v>
      </c>
      <c r="M86" s="15">
        <f t="shared" si="20"/>
        <v>20.364795719999996</v>
      </c>
      <c r="N86" s="15">
        <f t="shared" si="20"/>
        <v>4.6800000000000001E-3</v>
      </c>
      <c r="O86" s="15">
        <f t="shared" si="20"/>
        <v>227564.62482249597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Actividad'!$S83*'FE Sectorial'!$H86*'FE Sectorial'!I86*'FE Sectorial'!P86/1000</f>
        <v>227343.34222300799</v>
      </c>
      <c r="I87" s="17">
        <f>'Datos Actividad'!$S83*'FE Sectorial'!$H86*'FE Sectorial'!J86/1000/1000</f>
        <v>4.0728301440000001</v>
      </c>
      <c r="J87" s="17">
        <f>'Datos Actividad'!$S83*'FE Sectorial'!$H86*'FE Sectorial'!K86/1000/1000</f>
        <v>0.40728301440000003</v>
      </c>
      <c r="K87" s="17">
        <f>'Datos Actividad'!$S83*'FE Sectorial'!$H86*'FE Sectorial'!L86/1000/1000</f>
        <v>610.92452159999993</v>
      </c>
      <c r="L87" s="17">
        <f>'Datos Actividad'!$S83*'FE Sectorial'!$H86*'FE Sectorial'!M86/1000/1000</f>
        <v>122.18490431999999</v>
      </c>
      <c r="M87" s="17">
        <f>'Datos Actividad'!$S83*'FE Sectorial'!$H86*'FE Sectorial'!N86/1000/1000</f>
        <v>20.364150719999998</v>
      </c>
      <c r="N87" s="17">
        <f>'Datos Actividad'!$S83*'FE Sectorial'!$H86*'FE Sectorial'!O86/1000/1000</f>
        <v>0</v>
      </c>
      <c r="O87" s="87">
        <f>IF(D87&lt;400,H87+I87*'Factores generales'!$M$41+J87*'Factores generales'!$N$41,I87*'Factores generales'!$M$41+J87*'Factores generales'!$N$41)</f>
        <v>227555.12939049597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Actividad'!$S84*'FE Sectorial'!$H87*'FE Sectorial'!I87*'FE Sectorial'!P87/1000</f>
        <v>9.4633109999999991</v>
      </c>
      <c r="I88" s="17">
        <f>'Datos Actividad'!$S84*'FE Sectorial'!$H87*'FE Sectorial'!J87/1000/1000</f>
        <v>3.8700000000000003E-4</v>
      </c>
      <c r="J88" s="17">
        <f>'Datos Actividad'!$S84*'FE Sectorial'!$H87*'FE Sectorial'!K87/1000/1000</f>
        <v>7.7399999999999998E-5</v>
      </c>
      <c r="K88" s="17">
        <f>'Datos Actividad'!$S84*'FE Sectorial'!$H87*'FE Sectorial'!L87/1000/1000</f>
        <v>2.58E-2</v>
      </c>
      <c r="L88" s="17">
        <f>'Datos Actividad'!$S84*'FE Sectorial'!$H87*'FE Sectorial'!M87/1000/1000</f>
        <v>1.2900000000000001E-3</v>
      </c>
      <c r="M88" s="17">
        <f>'Datos Actividad'!$S84*'FE Sectorial'!$H87*'FE Sectorial'!N87/1000/1000</f>
        <v>6.4500000000000007E-4</v>
      </c>
      <c r="N88" s="17">
        <f>'Datos Actividad'!$S84*'FE Sectorial'!$H87*'FE Sectorial'!O87/1000/1000</f>
        <v>4.6800000000000001E-3</v>
      </c>
      <c r="O88" s="87">
        <f>IF(D88&lt;400,H88+I88*'Factores generales'!$M$41+J88*'Factores generales'!$N$41,I88*'Factores generales'!$M$41+J88*'Factores generales'!$N$41)</f>
        <v>9.4954319999999992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Actividad'!$S85*'FE Sectorial'!$H88*'FE Sectorial'!I88*'FE Sectorial'!P88/1000</f>
        <v>0</v>
      </c>
      <c r="I89" s="95">
        <f>'Datos Actividad'!$S85*'FE Sectorial'!$H88*'FE Sectorial'!J88/1000/1000</f>
        <v>0</v>
      </c>
      <c r="J89" s="17">
        <f>'Datos Actividad'!$S85*'FE Sectorial'!$H88*'FE Sectorial'!K88/1000/1000</f>
        <v>0</v>
      </c>
      <c r="K89" s="17">
        <f>'Datos Actividad'!$S85*'FE Sectorial'!$H88*'FE Sectorial'!L88/1000/1000</f>
        <v>0</v>
      </c>
      <c r="L89" s="17">
        <f>'Datos Actividad'!$S85*'FE Sectorial'!$H88*'FE Sectorial'!M88/1000/1000</f>
        <v>0</v>
      </c>
      <c r="M89" s="17">
        <f>'Datos Actividad'!$S85*'FE Sectorial'!$H88*'FE Sectorial'!N88/1000/1000</f>
        <v>0</v>
      </c>
      <c r="N89" s="17">
        <f>'Datos Actividad'!$S85*'FE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3741323.2099755458</v>
      </c>
      <c r="I90" s="15">
        <f t="shared" si="21"/>
        <v>68.309611657593578</v>
      </c>
      <c r="J90" s="15">
        <f t="shared" si="21"/>
        <v>7.06227130575936</v>
      </c>
      <c r="K90" s="15">
        <f t="shared" si="21"/>
        <v>10053.68329863904</v>
      </c>
      <c r="L90" s="15">
        <f t="shared" si="21"/>
        <v>1987.6056457278078</v>
      </c>
      <c r="M90" s="15">
        <f t="shared" si="21"/>
        <v>333.83772028796801</v>
      </c>
      <c r="N90" s="15">
        <f t="shared" si="21"/>
        <v>70.981319999999997</v>
      </c>
      <c r="O90" s="15">
        <f t="shared" si="21"/>
        <v>3744947.0159251411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Actividad'!$S87*'FE Sectorial'!$H90*'FE Sectorial'!I90*'FE Sectorial'!P90/1000</f>
        <v>3683892.2043237458</v>
      </c>
      <c r="I91" s="17">
        <f>'Datos Actividad'!$S87*'FE Sectorial'!$H90*'FE Sectorial'!J90/1000/1000</f>
        <v>65.996510257593584</v>
      </c>
      <c r="J91" s="17">
        <f>'Datos Actividad'!$S87*'FE Sectorial'!$H90*'FE Sectorial'!K90/1000/1000</f>
        <v>6.5996510257593597</v>
      </c>
      <c r="K91" s="17">
        <f>'Datos Actividad'!$S87*'FE Sectorial'!$H90*'FE Sectorial'!L90/1000/1000</f>
        <v>9899.4765386390409</v>
      </c>
      <c r="L91" s="17">
        <f>'Datos Actividad'!$S87*'FE Sectorial'!$H90*'FE Sectorial'!M90/1000/1000</f>
        <v>1979.8953077278077</v>
      </c>
      <c r="M91" s="17">
        <f>'Datos Actividad'!$S87*'FE Sectorial'!$H90*'FE Sectorial'!N90/1000/1000</f>
        <v>329.98255128796802</v>
      </c>
      <c r="N91" s="17">
        <f>'Datos Actividad'!$S87*'FE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3687324.0228571407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Actividad'!$S88*'FE Sectorial'!$H91*'FE Sectorial'!I91*'FE Sectorial'!P91/1000</f>
        <v>37055.171438999998</v>
      </c>
      <c r="I92" s="17">
        <f>'Datos Actividad'!$S88*'FE Sectorial'!$H91*'FE Sectorial'!J91/1000/1000</f>
        <v>1.515363</v>
      </c>
      <c r="J92" s="17">
        <f>'Datos Actividad'!$S88*'FE Sectorial'!$H91*'FE Sectorial'!K91/1000/1000</f>
        <v>0.30307259999999997</v>
      </c>
      <c r="K92" s="17">
        <f>'Datos Actividad'!$S88*'FE Sectorial'!$H91*'FE Sectorial'!L91/1000/1000</f>
        <v>101.02419999999999</v>
      </c>
      <c r="L92" s="17">
        <f>'Datos Actividad'!$S88*'FE Sectorial'!$H91*'FE Sectorial'!M91/1000/1000</f>
        <v>5.0512100000000002</v>
      </c>
      <c r="M92" s="17">
        <f>'Datos Actividad'!$S88*'FE Sectorial'!$H91*'FE Sectorial'!N91/1000/1000</f>
        <v>2.5256050000000001</v>
      </c>
      <c r="N92" s="17">
        <f>'Datos Actividad'!$S88*'FE Sectorial'!$H91*'FE Sectorial'!O91/1000/1000</f>
        <v>18.325320000000001</v>
      </c>
      <c r="O92" s="87">
        <f>IF(D92&lt;400,H92+I92*'Factores generales'!$M$41+J92*'Factores generales'!$N$41,I92*'Factores generales'!$M$41+J92*'Factores generales'!$N$41)</f>
        <v>37180.946567999999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Actividad'!$S89*'FE Sectorial'!$H92*'FE Sectorial'!I92*'FE Sectorial'!P92/1000</f>
        <v>20375.8342128</v>
      </c>
      <c r="I93" s="17">
        <f>'Datos Actividad'!$S89*'FE Sectorial'!$H92*'FE Sectorial'!J92/1000/1000</f>
        <v>0.79773839999999996</v>
      </c>
      <c r="J93" s="17">
        <f>'Datos Actividad'!$S89*'FE Sectorial'!$H92*'FE Sectorial'!K92/1000/1000</f>
        <v>0.15954768</v>
      </c>
      <c r="K93" s="17">
        <f>'Datos Actividad'!$S89*'FE Sectorial'!$H92*'FE Sectorial'!L92/1000/1000</f>
        <v>53.182559999999995</v>
      </c>
      <c r="L93" s="17">
        <f>'Datos Actividad'!$S89*'FE Sectorial'!$H92*'FE Sectorial'!M92/1000/1000</f>
        <v>2.6591279999999999</v>
      </c>
      <c r="M93" s="17">
        <f>'Datos Actividad'!$S89*'FE Sectorial'!$H92*'FE Sectorial'!N92/1000/1000</f>
        <v>1.329564</v>
      </c>
      <c r="N93" s="17">
        <f>'Datos Actividad'!$S89*'FE Sectorial'!$H92*'FE Sectorial'!O92/1000/1000</f>
        <v>52.655999999999999</v>
      </c>
      <c r="O93" s="87">
        <f>IF(D93&lt;400,H93+I93*'Factores generales'!$M$41+J93*'Factores generales'!$N$41,I93*'Factores generales'!$M$41+J93*'Factores generales'!$N$41)</f>
        <v>20442.0465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1466416.2911427265</v>
      </c>
      <c r="I94" s="15">
        <f t="shared" ref="I94:O94" si="22">SUM(I95:I100)</f>
        <v>56.108283305398849</v>
      </c>
      <c r="J94" s="15">
        <f t="shared" si="22"/>
        <v>11.102279236422236</v>
      </c>
      <c r="K94" s="15">
        <f t="shared" si="22"/>
        <v>3840.033407574535</v>
      </c>
      <c r="L94" s="15">
        <f t="shared" si="22"/>
        <v>218.86159092667202</v>
      </c>
      <c r="M94" s="15">
        <f t="shared" si="22"/>
        <v>97.493052997582566</v>
      </c>
      <c r="N94" s="15">
        <f t="shared" si="22"/>
        <v>3095.8806124093471</v>
      </c>
      <c r="O94" s="15">
        <f t="shared" si="22"/>
        <v>1471036.2716554308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Actividad'!$S91*'FE Sectorial'!$H94*'FE Sectorial'!I94*'FE Sectorial'!P94/1000</f>
        <v>0</v>
      </c>
      <c r="I95" s="17">
        <f>'Datos Actividad'!$S91*'FE Sectorial'!$H94*'FE Sectorial'!J94/1000/1000</f>
        <v>0</v>
      </c>
      <c r="J95" s="17">
        <f>'Datos Actividad'!$S91*'FE Sectorial'!$H94*'FE Sectorial'!K94/1000/1000</f>
        <v>0</v>
      </c>
      <c r="K95" s="17">
        <f>'Datos Actividad'!$S91*'FE Sectorial'!$H94*'FE Sectorial'!L94/1000/1000</f>
        <v>0</v>
      </c>
      <c r="L95" s="17">
        <f>'Datos Actividad'!$S91*'FE Sectorial'!$H94*'FE Sectorial'!M94/1000/1000</f>
        <v>0</v>
      </c>
      <c r="M95" s="17">
        <f>'Datos Actividad'!$S91*'FE Sectorial'!$H94*'FE Sectorial'!N94/1000/1000</f>
        <v>0</v>
      </c>
      <c r="N95" s="17">
        <f>'Datos Actividad'!$S91*'FE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Actividad'!$S92*'FE Sectorial'!$H95*'FE Sectorial'!I95*'FE Sectorial'!P95/1000</f>
        <v>74573.883409315138</v>
      </c>
      <c r="I96" s="17">
        <f>'Datos Actividad'!$S92*'FE Sectorial'!$H95*'FE Sectorial'!J95/1000/1000</f>
        <v>1.1937742465753434</v>
      </c>
      <c r="J96" s="17">
        <f>'Datos Actividad'!$S92*'FE Sectorial'!$H95*'FE Sectorial'!K95/1000/1000</f>
        <v>0.11937742465753434</v>
      </c>
      <c r="K96" s="17">
        <f>'Datos Actividad'!$S92*'FE Sectorial'!$H95*'FE Sectorial'!L95/1000/1000</f>
        <v>179.0661369863015</v>
      </c>
      <c r="L96" s="17">
        <f>'Datos Actividad'!$S92*'FE Sectorial'!$H95*'FE Sectorial'!M95/1000/1000</f>
        <v>35.813227397260299</v>
      </c>
      <c r="M96" s="17">
        <f>'Datos Actividad'!$S92*'FE Sectorial'!$H95*'FE Sectorial'!N95/1000/1000</f>
        <v>5.9688712328767171</v>
      </c>
      <c r="N96" s="17">
        <f>'Datos Actividad'!$S92*'FE Sectorial'!$H95*'FE Sectorial'!O95/1000/1000</f>
        <v>5.0476712328767173</v>
      </c>
      <c r="O96" s="87">
        <f>IF(D96&lt;400,H96+I96*'Factores generales'!$M$41+J96*'Factores generales'!$N$41,I96*'Factores generales'!$M$41+J96*'Factores generales'!$N$41)</f>
        <v>74635.959670137061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Actividad'!$S93*'FE Sectorial'!$H96*'FE Sectorial'!I96*'FE Sectorial'!P96/1000</f>
        <v>242149.42852941123</v>
      </c>
      <c r="I97" s="17">
        <f>'Datos Actividad'!$S93*'FE Sectorial'!$H96*'FE Sectorial'!J96/1000/1000</f>
        <v>9.9026470588235078</v>
      </c>
      <c r="J97" s="17">
        <f>'Datos Actividad'!$S93*'FE Sectorial'!$H96*'FE Sectorial'!K96/1000/1000</f>
        <v>1.9805294117647014</v>
      </c>
      <c r="K97" s="17">
        <f>'Datos Actividad'!$S93*'FE Sectorial'!$H96*'FE Sectorial'!L96/1000/1000</f>
        <v>660.17647058823377</v>
      </c>
      <c r="L97" s="17">
        <f>'Datos Actividad'!$S93*'FE Sectorial'!$H96*'FE Sectorial'!M96/1000/1000</f>
        <v>33.0088235294117</v>
      </c>
      <c r="M97" s="17">
        <f>'Datos Actividad'!$S93*'FE Sectorial'!$H96*'FE Sectorial'!N96/1000/1000</f>
        <v>16.50441176470585</v>
      </c>
      <c r="N97" s="17">
        <f>'Datos Actividad'!$S93*'FE Sectorial'!$H96*'FE Sectorial'!O96/1000/1000</f>
        <v>119.75294117647034</v>
      </c>
      <c r="O97" s="87">
        <f>IF(D97&lt;400,H97+I97*'Factores generales'!$M$41+J97*'Factores generales'!$N$41,I97*'Factores generales'!$M$41+J97*'Factores generales'!$N$41)</f>
        <v>242971.34823529358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Actividad'!$S94*'FE Sectorial'!$H97*'FE Sectorial'!I97*'FE Sectorial'!P97/1000</f>
        <v>1149692.9792040002</v>
      </c>
      <c r="I98" s="17">
        <f>'Datos Actividad'!$S94*'FE Sectorial'!$H97*'FE Sectorial'!J97/1000/1000</f>
        <v>45.011862000000001</v>
      </c>
      <c r="J98" s="17">
        <f>'Datos Actividad'!$S94*'FE Sectorial'!$H97*'FE Sectorial'!K97/1000/1000</f>
        <v>9.0023724000000005</v>
      </c>
      <c r="K98" s="17">
        <f>'Datos Actividad'!$S94*'FE Sectorial'!$H97*'FE Sectorial'!L97/1000/1000</f>
        <v>3000.7907999999998</v>
      </c>
      <c r="L98" s="17">
        <f>'Datos Actividad'!$S94*'FE Sectorial'!$H97*'FE Sectorial'!M97/1000/1000</f>
        <v>150.03954000000002</v>
      </c>
      <c r="M98" s="17">
        <f>'Datos Actividad'!$S94*'FE Sectorial'!$H97*'FE Sectorial'!N97/1000/1000</f>
        <v>75.019770000000008</v>
      </c>
      <c r="N98" s="17">
        <f>'Datos Actividad'!$S94*'FE Sectorial'!$H97*'FE Sectorial'!O97/1000/1000</f>
        <v>2971.08</v>
      </c>
      <c r="O98" s="87">
        <f>IF(D98&lt;400,H98+I98*'Factores generales'!$M$41+J98*'Factores generales'!$N$41,I98*'Factores generales'!$M$41+J98*'Factores generales'!$N$41)</f>
        <v>1153428.9637500001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Actividad'!$S95*'FE Sectorial'!$H98*'FE Sectorial'!I98*'FE Sectorial'!P98/1000</f>
        <v>0</v>
      </c>
      <c r="I99" s="17">
        <f>'Datos Actividad'!$S95*'FE Sectorial'!$H98*'FE Sectorial'!J98/1000/1000</f>
        <v>0</v>
      </c>
      <c r="J99" s="17">
        <f>'Datos Actividad'!$S95*'FE Sectorial'!$H98*'FE Sectorial'!K98/1000/1000</f>
        <v>0</v>
      </c>
      <c r="K99" s="17">
        <f>'Datos Actividad'!$S95*'FE Sectorial'!$H98*'FE Sectorial'!L98/1000/1000</f>
        <v>0</v>
      </c>
      <c r="L99" s="17">
        <f>'Datos Actividad'!$S95*'FE Sectorial'!$H98*'FE Sectorial'!M98/1000/1000</f>
        <v>0</v>
      </c>
      <c r="M99" s="17">
        <f>'Datos Actividad'!$S95*'FE Sectorial'!$H98*'FE Sectorial'!N98/1000/1000</f>
        <v>0</v>
      </c>
      <c r="N99" s="17">
        <f>'Datos Actividad'!$S95*'FE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Actividad'!$S96*'FE Sectorial'!$H99*'FE Sectorial'!I99*'FE Sectorial'!P99/1000</f>
        <v>0</v>
      </c>
      <c r="I100" s="17">
        <f>'Datos Actividad'!$S96*'FE Sectorial'!$H99*'FE Sectorial'!J99/1000/1000</f>
        <v>0</v>
      </c>
      <c r="J100" s="17">
        <f>'Datos Actividad'!$S96*'FE Sectorial'!$H99*'FE Sectorial'!K99/1000/1000</f>
        <v>0</v>
      </c>
      <c r="K100" s="17">
        <f>'Datos Actividad'!$S96*'FE Sectorial'!$H99*'FE Sectorial'!L99/1000/1000</f>
        <v>0</v>
      </c>
      <c r="L100" s="17">
        <f>'Datos Actividad'!$S96*'FE Sectorial'!$H99*'FE Sectorial'!M99/1000/1000</f>
        <v>0</v>
      </c>
      <c r="M100" s="17">
        <f>'Datos Actividad'!$S96*'FE Sectorial'!$H99*'FE Sectorial'!N99/1000/1000</f>
        <v>0</v>
      </c>
      <c r="N100" s="17">
        <f>'Datos Actividad'!$S96*'FE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42427797.816152565</v>
      </c>
      <c r="I101" s="129">
        <f t="shared" si="23"/>
        <v>10498.93404952542</v>
      </c>
      <c r="J101" s="129">
        <f t="shared" si="23"/>
        <v>3059.2272615793945</v>
      </c>
      <c r="K101" s="129">
        <f t="shared" si="23"/>
        <v>414908.06601404725</v>
      </c>
      <c r="L101" s="129">
        <f t="shared" si="23"/>
        <v>1847777.9365943167</v>
      </c>
      <c r="M101" s="129">
        <f t="shared" si="23"/>
        <v>347735.49280789983</v>
      </c>
      <c r="N101" s="129">
        <f t="shared" si="23"/>
        <v>13971.328804682928</v>
      </c>
      <c r="O101" s="129">
        <f t="shared" si="23"/>
        <v>43596635.882282212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1442612.0446601943</v>
      </c>
      <c r="I102" s="134">
        <f t="shared" ref="I102:O102" si="24">I105</f>
        <v>10.190097087378641</v>
      </c>
      <c r="J102" s="134">
        <f t="shared" si="24"/>
        <v>40.760388349514564</v>
      </c>
      <c r="K102" s="134">
        <f t="shared" si="24"/>
        <v>5095.0485436893205</v>
      </c>
      <c r="L102" s="134">
        <f t="shared" si="24"/>
        <v>2038.0194174757282</v>
      </c>
      <c r="M102" s="134">
        <f t="shared" si="24"/>
        <v>1019.0097087378641</v>
      </c>
      <c r="N102" s="134">
        <f t="shared" si="24"/>
        <v>924.27184466019412</v>
      </c>
      <c r="O102" s="134">
        <f t="shared" si="24"/>
        <v>1455461.7570873788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2783429.5526474328</v>
      </c>
      <c r="I103" s="15">
        <f t="shared" ref="I103:O103" si="25">I104</f>
        <v>19.66115386485437</v>
      </c>
      <c r="J103" s="15">
        <f t="shared" si="25"/>
        <v>78.64461545941748</v>
      </c>
      <c r="K103" s="15">
        <f t="shared" si="25"/>
        <v>9830.5769324271841</v>
      </c>
      <c r="L103" s="15">
        <f t="shared" si="25"/>
        <v>3932.2307729708737</v>
      </c>
      <c r="M103" s="15">
        <f t="shared" si="25"/>
        <v>1966.1153864854368</v>
      </c>
      <c r="N103" s="15">
        <f t="shared" si="25"/>
        <v>1783.3246135922329</v>
      </c>
      <c r="O103" s="15">
        <f t="shared" si="25"/>
        <v>2808222.2676710142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Actividad'!$S100*'FE Sectorial'!$H103*'FE Sectorial'!I103*'FE Sectorial'!P103/1000</f>
        <v>2783429.5526474328</v>
      </c>
      <c r="I104" s="17">
        <f>'Datos Actividad'!$S100*'FE Sectorial'!$H103*'FE Sectorial'!J103/1000/1000</f>
        <v>19.66115386485437</v>
      </c>
      <c r="J104" s="17">
        <f>'Datos Actividad'!$S100*'FE Sectorial'!$H103*'FE Sectorial'!K103/1000/1000</f>
        <v>78.64461545941748</v>
      </c>
      <c r="K104" s="17">
        <f>'Datos Actividad'!$S100*'FE Sectorial'!$H103*'FE Sectorial'!L103/1000/1000</f>
        <v>9830.5769324271841</v>
      </c>
      <c r="L104" s="17">
        <f>'Datos Actividad'!$S100*'FE Sectorial'!$H103*'FE Sectorial'!M103/1000/1000</f>
        <v>3932.2307729708737</v>
      </c>
      <c r="M104" s="17">
        <f>'Datos Actividad'!$S100*'FE Sectorial'!$H103*'FE Sectorial'!N103/1000/1000</f>
        <v>1966.1153864854368</v>
      </c>
      <c r="N104" s="17">
        <f>'Datos Actividad'!$S100*'FE Sectorial'!$H103*'FE Sectorial'!O103/1000/1000</f>
        <v>1783.3246135922329</v>
      </c>
      <c r="O104" s="87">
        <f>IF(D104&lt;400,H104+I104*'Factores generales'!$M$41+J104*'Factores generales'!$N$41,I104*'Factores generales'!$M$41+J104*'Factores generales'!$N$41)</f>
        <v>2808222.2676710142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1442612.0446601943</v>
      </c>
      <c r="I105" s="15">
        <f t="shared" ref="I105:O105" si="26">I106</f>
        <v>10.190097087378641</v>
      </c>
      <c r="J105" s="15">
        <f t="shared" si="26"/>
        <v>40.760388349514564</v>
      </c>
      <c r="K105" s="15">
        <f t="shared" si="26"/>
        <v>5095.0485436893205</v>
      </c>
      <c r="L105" s="15">
        <f t="shared" si="26"/>
        <v>2038.0194174757282</v>
      </c>
      <c r="M105" s="15">
        <f t="shared" si="26"/>
        <v>1019.0097087378641</v>
      </c>
      <c r="N105" s="15">
        <f t="shared" si="26"/>
        <v>924.27184466019412</v>
      </c>
      <c r="O105" s="15">
        <f t="shared" si="26"/>
        <v>1455461.7570873788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Actividad'!$S102*'FE Sectorial'!$H105*'FE Sectorial'!I105*'FE Sectorial'!P105/1000</f>
        <v>1442612.0446601943</v>
      </c>
      <c r="I106" s="17">
        <f>'Datos Actividad'!$S102*'FE Sectorial'!$H105*'FE Sectorial'!J105/1000/1000</f>
        <v>10.190097087378641</v>
      </c>
      <c r="J106" s="17">
        <f>'Datos Actividad'!$S102*'FE Sectorial'!$H105*'FE Sectorial'!K105/1000/1000</f>
        <v>40.760388349514564</v>
      </c>
      <c r="K106" s="17">
        <f>'Datos Actividad'!$S102*'FE Sectorial'!$H105*'FE Sectorial'!L105/1000/1000</f>
        <v>5095.0485436893205</v>
      </c>
      <c r="L106" s="17">
        <f>'Datos Actividad'!$S102*'FE Sectorial'!$H105*'FE Sectorial'!M105/1000/1000</f>
        <v>2038.0194174757282</v>
      </c>
      <c r="M106" s="17">
        <f>'Datos Actividad'!$S102*'FE Sectorial'!$H105*'FE Sectorial'!N105/1000/1000</f>
        <v>1019.0097087378641</v>
      </c>
      <c r="N106" s="17">
        <f>'Datos Actividad'!$S102*'FE Sectorial'!$H105*'FE Sectorial'!O105/1000/1000</f>
        <v>924.27184466019412</v>
      </c>
      <c r="O106" s="87">
        <f>IF(D106&lt;400,H106+I106*'Factores generales'!$M$41+J106*'Factores generales'!$N$41,I106*'Factores generales'!$M$41+J106*'Factores generales'!$N$41)</f>
        <v>1455461.7570873788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38354656.789384156</v>
      </c>
      <c r="I107" s="134">
        <f t="shared" si="27"/>
        <v>10393.584627698709</v>
      </c>
      <c r="J107" s="134">
        <f t="shared" si="27"/>
        <v>2859.3500045011056</v>
      </c>
      <c r="K107" s="134">
        <f t="shared" si="27"/>
        <v>389971.12624422519</v>
      </c>
      <c r="L107" s="134">
        <f t="shared" si="27"/>
        <v>1834104.5854926358</v>
      </c>
      <c r="M107" s="134">
        <f t="shared" si="27"/>
        <v>344356.89152183541</v>
      </c>
      <c r="N107" s="134">
        <f t="shared" si="27"/>
        <v>12090.174106761979</v>
      </c>
      <c r="O107" s="134">
        <f t="shared" si="27"/>
        <v>39459320.567961171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34784690.582005084</v>
      </c>
      <c r="I108" s="15">
        <f t="shared" ref="I108:O108" si="28">I109+I110+I111+I112+I113</f>
        <v>10203.793760746074</v>
      </c>
      <c r="J108" s="15">
        <f t="shared" si="28"/>
        <v>2669.5591375484701</v>
      </c>
      <c r="K108" s="15">
        <f t="shared" si="28"/>
        <v>351039.66635650507</v>
      </c>
      <c r="L108" s="15">
        <f t="shared" si="28"/>
        <v>1785440.2606329857</v>
      </c>
      <c r="M108" s="15">
        <f t="shared" si="28"/>
        <v>334624.02654990536</v>
      </c>
      <c r="N108" s="15">
        <f t="shared" si="28"/>
        <v>10324.677669993276</v>
      </c>
      <c r="O108" s="15">
        <f t="shared" si="28"/>
        <v>35826533.583620772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Actividad'!$S105*'FE Sectorial'!$H108*'FE Sectorial'!I108*'FE Sectorial'!P108/1000</f>
        <v>2719855.6679907367</v>
      </c>
      <c r="I109" s="17">
        <f>'Datos Actividad'!$S105*'FE Sectorial'!$H108*'FE Sectorial'!J108/1000/1000</f>
        <v>4482.7832828159999</v>
      </c>
      <c r="J109" s="17">
        <f>'Datos Actividad'!$S105*'FE Sectorial'!$H108*'FE Sectorial'!K108/1000/1000</f>
        <v>146.17771574400001</v>
      </c>
      <c r="K109" s="17">
        <f>'Datos Actividad'!$S105*'FE Sectorial'!$H108*'FE Sectorial'!L108/1000/1000</f>
        <v>29235.543148800003</v>
      </c>
      <c r="L109" s="17">
        <f>'Datos Actividad'!$S105*'FE Sectorial'!$H108*'FE Sectorial'!M108/1000/1000</f>
        <v>19490.3620992</v>
      </c>
      <c r="M109" s="17">
        <f>'Datos Actividad'!$S105*'FE Sectorial'!$H108*'FE Sectorial'!N108/1000/1000</f>
        <v>243.62952624000002</v>
      </c>
      <c r="N109" s="17">
        <f>'Datos Actividad'!$S105*'FE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2859309.2088105129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Actividad'!$S106*'FE Sectorial'!$H109*'FE Sectorial'!I109*'FE Sectorial'!P109/1000</f>
        <v>19160144.522625566</v>
      </c>
      <c r="I110" s="17">
        <f>'Datos Actividad'!$S106*'FE Sectorial'!$H109*'FE Sectorial'!J109/1000/1000</f>
        <v>1018.6148071571275</v>
      </c>
      <c r="J110" s="17">
        <f>'Datos Actividad'!$S106*'FE Sectorial'!$H109*'FE Sectorial'!K109/1000/1000</f>
        <v>1018.6148071571275</v>
      </c>
      <c r="K110" s="17">
        <f>'Datos Actividad'!$S106*'FE Sectorial'!$H109*'FE Sectorial'!L109/1000/1000</f>
        <v>208946.62710915433</v>
      </c>
      <c r="L110" s="17">
        <f>'Datos Actividad'!$S106*'FE Sectorial'!$H109*'FE Sectorial'!M109/1000/1000</f>
        <v>261183.28388644295</v>
      </c>
      <c r="M110" s="17">
        <f>'Datos Actividad'!$S106*'FE Sectorial'!$H109*'FE Sectorial'!N109/1000/1000</f>
        <v>52236.656777288583</v>
      </c>
      <c r="N110" s="17">
        <f>'Datos Actividad'!$S106*'FE Sectorial'!$H109*'FE Sectorial'!O109/1000/1000</f>
        <v>9475.4865782058368</v>
      </c>
      <c r="O110" s="87">
        <f>IF(D110&lt;400,H110+I110*'Factores generales'!$M$41+J110*'Factores generales'!$N$41,I110*'Factores generales'!$M$41+J110*'Factores generales'!$N$41)</f>
        <v>19497306.023794573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Actividad'!$S107*'FE Sectorial'!$H110*'FE Sectorial'!I110*'FE Sectorial'!P110/1000</f>
        <v>12904690.391388783</v>
      </c>
      <c r="I111" s="17">
        <f>'Datos Actividad'!$S107*'FE Sectorial'!$H110*'FE Sectorial'!J110/1000/1000</f>
        <v>4702.3956707729467</v>
      </c>
      <c r="J111" s="17">
        <f>'Datos Actividad'!$S107*'FE Sectorial'!$H110*'FE Sectorial'!K110/1000/1000</f>
        <v>1504.7666146473427</v>
      </c>
      <c r="K111" s="17">
        <f>'Datos Actividad'!$S107*'FE Sectorial'!$H110*'FE Sectorial'!L110/1000/1000</f>
        <v>112857.49609855072</v>
      </c>
      <c r="L111" s="17">
        <f>'Datos Actividad'!$S107*'FE Sectorial'!$H110*'FE Sectorial'!M110/1000/1000</f>
        <v>1504766.6146473428</v>
      </c>
      <c r="M111" s="17">
        <f>'Datos Actividad'!$S107*'FE Sectorial'!$H110*'FE Sectorial'!N110/1000/1000</f>
        <v>282143.74024637678</v>
      </c>
      <c r="N111" s="17">
        <f>'Datos Actividad'!$S107*'FE Sectorial'!$H110*'FE Sectorial'!O110/1000/1000</f>
        <v>849.19109178743952</v>
      </c>
      <c r="O111" s="87">
        <f>IF(D111&lt;400,H111+I111*'Factores generales'!$M$41+J111*'Factores generales'!$N$41,I111*'Factores generales'!$M$41+J111*'Factores generales'!$N$41)</f>
        <v>13469918.351015691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Actividad'!$S108*'FE Sectorial'!$H111*'FE Sectorial'!I111*'FE Sectorial'!P111/1000</f>
        <v>0</v>
      </c>
      <c r="I112" s="17">
        <f>'Datos Actividad'!$S108*'FE Sectorial'!$H111*'FE Sectorial'!J111/1000/1000</f>
        <v>0</v>
      </c>
      <c r="J112" s="17">
        <f>'Datos Actividad'!$S108*'FE Sectorial'!$H111*'FE Sectorial'!K111/1000/1000</f>
        <v>0</v>
      </c>
      <c r="K112" s="17">
        <f>'Datos Actividad'!$S108*'FE Sectorial'!$H111*'FE Sectorial'!L111/1000/1000</f>
        <v>0</v>
      </c>
      <c r="L112" s="17">
        <f>'Datos Actividad'!$S108*'FE Sectorial'!$H111*'FE Sectorial'!M111/1000/1000</f>
        <v>0</v>
      </c>
      <c r="M112" s="17">
        <f>'Datos Actividad'!$S108*'FE Sectorial'!$H111*'FE Sectorial'!N111/1000/1000</f>
        <v>0</v>
      </c>
      <c r="N112" s="17">
        <f>'Datos Actividad'!$S108*'FE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Actividad'!$S109*'FE Sectorial'!$H112*'FE Sectorial'!I112*'FE Sectorial'!P112/1000</f>
        <v>0</v>
      </c>
      <c r="I113" s="17">
        <f>'Datos Actividad'!$S109*'FE Sectorial'!$H112*'FE Sectorial'!J112/1000/1000</f>
        <v>0</v>
      </c>
      <c r="J113" s="17">
        <f>'Datos Actividad'!$S109*'FE Sectorial'!$H112*'FE Sectorial'!K112/1000/1000</f>
        <v>0</v>
      </c>
      <c r="K113" s="17">
        <f>'Datos Actividad'!$S109*'FE Sectorial'!$H112*'FE Sectorial'!L112/1000/1000</f>
        <v>0</v>
      </c>
      <c r="L113" s="17">
        <f>'Datos Actividad'!$S109*'FE Sectorial'!$H112*'FE Sectorial'!M112/1000/1000</f>
        <v>0</v>
      </c>
      <c r="M113" s="17">
        <f>'Datos Actividad'!$S109*'FE Sectorial'!$H112*'FE Sectorial'!N112/1000/1000</f>
        <v>0</v>
      </c>
      <c r="N113" s="17">
        <f>'Datos Actividad'!$S109*'FE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3569966.2073790734</v>
      </c>
      <c r="I114" s="15">
        <f t="shared" ref="I114:O114" si="29">I115</f>
        <v>189.79086695263547</v>
      </c>
      <c r="J114" s="15">
        <f t="shared" si="29"/>
        <v>189.79086695263547</v>
      </c>
      <c r="K114" s="15">
        <f t="shared" si="29"/>
        <v>38931.459887720092</v>
      </c>
      <c r="L114" s="15">
        <f t="shared" si="29"/>
        <v>48664.324859650122</v>
      </c>
      <c r="M114" s="15">
        <f t="shared" si="29"/>
        <v>9732.8649719300229</v>
      </c>
      <c r="N114" s="15">
        <f t="shared" si="29"/>
        <v>1765.4964367687021</v>
      </c>
      <c r="O114" s="15">
        <f t="shared" si="29"/>
        <v>3632786.9843403958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Actividad'!$S111*'FE Sectorial'!$H114*'FE Sectorial'!I114*'FE Sectorial'!P114/1000</f>
        <v>3569966.2073790734</v>
      </c>
      <c r="I115" s="17">
        <f>'Datos Actividad'!$S111*'FE Sectorial'!$H114*'FE Sectorial'!J114/1000/1000</f>
        <v>189.79086695263547</v>
      </c>
      <c r="J115" s="17">
        <f>'Datos Actividad'!$S111*'FE Sectorial'!$H114*'FE Sectorial'!K114/1000/1000</f>
        <v>189.79086695263547</v>
      </c>
      <c r="K115" s="17">
        <f>'Datos Actividad'!$S111*'FE Sectorial'!$H114*'FE Sectorial'!L114/1000/1000</f>
        <v>38931.459887720092</v>
      </c>
      <c r="L115" s="17">
        <f>'Datos Actividad'!$S111*'FE Sectorial'!$H114*'FE Sectorial'!M114/1000/1000</f>
        <v>48664.324859650122</v>
      </c>
      <c r="M115" s="17">
        <f>'Datos Actividad'!$S111*'FE Sectorial'!$H114*'FE Sectorial'!N114/1000/1000</f>
        <v>9732.8649719300229</v>
      </c>
      <c r="N115" s="17">
        <f>'Datos Actividad'!$S111*'FE Sectorial'!$H114*'FE Sectorial'!O114/1000/1000</f>
        <v>1765.4964367687021</v>
      </c>
      <c r="O115" s="87">
        <f>IF(D115&lt;400,H115+I115*'Factores generales'!$M$41+J115*'Factores generales'!$N$41,I115*'Factores generales'!$M$41+J115*'Factores generales'!$N$41)</f>
        <v>3632786.9843403958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369175.01866585354</v>
      </c>
      <c r="I116" s="134">
        <f t="shared" ref="I116:O116" si="30">I117</f>
        <v>20.884640295850442</v>
      </c>
      <c r="J116" s="134">
        <f t="shared" si="30"/>
        <v>143.92788252080064</v>
      </c>
      <c r="K116" s="134">
        <f t="shared" si="30"/>
        <v>6038.932133739886</v>
      </c>
      <c r="L116" s="134">
        <f t="shared" si="30"/>
        <v>5032.4434447832391</v>
      </c>
      <c r="M116" s="134">
        <f t="shared" si="30"/>
        <v>1006.4886889566477</v>
      </c>
      <c r="N116" s="134">
        <f t="shared" si="30"/>
        <v>182.57236683399654</v>
      </c>
      <c r="O116" s="134">
        <f t="shared" si="30"/>
        <v>414231.2396935146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Actividad'!$S113*'FE Sectorial'!$H116*'FE Sectorial'!I116*'FE Sectorial'!P116/1000</f>
        <v>369175.01866585354</v>
      </c>
      <c r="I117" s="17">
        <f>'Datos Actividad'!$S113*'FE Sectorial'!$H116*'FE Sectorial'!J116/1000/1000</f>
        <v>20.884640295850442</v>
      </c>
      <c r="J117" s="17">
        <f>'Datos Actividad'!$S113*'FE Sectorial'!$H116*'FE Sectorial'!K116/1000/1000</f>
        <v>143.92788252080064</v>
      </c>
      <c r="K117" s="17">
        <f>'Datos Actividad'!$S113*'FE Sectorial'!$H116*'FE Sectorial'!L116/1000/1000</f>
        <v>6038.932133739886</v>
      </c>
      <c r="L117" s="17">
        <f>'Datos Actividad'!$S113*'FE Sectorial'!$H116*'FE Sectorial'!M116/1000/1000</f>
        <v>5032.4434447832391</v>
      </c>
      <c r="M117" s="17">
        <f>'Datos Actividad'!$S113*'FE Sectorial'!$H116*'FE Sectorial'!N116/1000/1000</f>
        <v>1006.4886889566477</v>
      </c>
      <c r="N117" s="17">
        <f>'Datos Actividad'!$S113*'FE Sectorial'!$H116*'FE Sectorial'!O116/1000/1000</f>
        <v>182.57236683399654</v>
      </c>
      <c r="O117" s="87">
        <f>IF(D117&lt;400,H117+I117*'Factores generales'!$M$41+J117*'Factores generales'!$N$41,I117*'Factores generales'!$M$41+J117*'Factores generales'!$N$41)</f>
        <v>414231.2396935146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448015.54755538615</v>
      </c>
      <c r="I118" s="134">
        <f t="shared" ref="I118:O118" si="31">I122</f>
        <v>41.679009957983382</v>
      </c>
      <c r="J118" s="134">
        <f t="shared" si="31"/>
        <v>11.908288559423823</v>
      </c>
      <c r="K118" s="134">
        <f t="shared" si="31"/>
        <v>8931.216419567867</v>
      </c>
      <c r="L118" s="134">
        <f t="shared" si="31"/>
        <v>5954.1442797119116</v>
      </c>
      <c r="M118" s="134">
        <f t="shared" si="31"/>
        <v>1190.8288559423822</v>
      </c>
      <c r="N118" s="134">
        <f t="shared" si="31"/>
        <v>771.7552064267577</v>
      </c>
      <c r="O118" s="134">
        <f t="shared" si="31"/>
        <v>452582.37621792516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1668528.665338095</v>
      </c>
      <c r="I119" s="15">
        <f t="shared" ref="I119:O119" si="32">I120+I121</f>
        <v>154.49799333500002</v>
      </c>
      <c r="J119" s="15">
        <f t="shared" si="32"/>
        <v>44.142283810000002</v>
      </c>
      <c r="K119" s="15">
        <f t="shared" si="32"/>
        <v>33106.712857499995</v>
      </c>
      <c r="L119" s="15">
        <f t="shared" si="32"/>
        <v>22071.141905</v>
      </c>
      <c r="M119" s="15">
        <f t="shared" si="32"/>
        <v>4414.2283809999999</v>
      </c>
      <c r="N119" s="15">
        <f t="shared" si="32"/>
        <v>3246.9694306000001</v>
      </c>
      <c r="O119" s="15">
        <f t="shared" si="32"/>
        <v>1685457.2311792299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Actividad'!$S116*'FE Sectorial'!$H119*'FE Sectorial'!I119*'FE Sectorial'!P119/1000</f>
        <v>509598.14598049503</v>
      </c>
      <c r="I120" s="17">
        <f>'Datos Actividad'!$S116*'FE Sectorial'!$H119*'FE Sectorial'!J119/1000/1000</f>
        <v>48.626440135000003</v>
      </c>
      <c r="J120" s="17">
        <f>'Datos Actividad'!$S116*'FE Sectorial'!$H119*'FE Sectorial'!K119/1000/1000</f>
        <v>13.893268610000002</v>
      </c>
      <c r="K120" s="17">
        <f>'Datos Actividad'!$S116*'FE Sectorial'!$H119*'FE Sectorial'!L119/1000/1000</f>
        <v>10419.951457499999</v>
      </c>
      <c r="L120" s="17">
        <f>'Datos Actividad'!$S116*'FE Sectorial'!$H119*'FE Sectorial'!M119/1000/1000</f>
        <v>6946.6343050000005</v>
      </c>
      <c r="M120" s="17">
        <f>'Datos Actividad'!$S116*'FE Sectorial'!$H119*'FE Sectorial'!N119/1000/1000</f>
        <v>1389.3268610000002</v>
      </c>
      <c r="N120" s="17">
        <f>'Datos Actividad'!$S116*'FE Sectorial'!$H119*'FE Sectorial'!O119/1000/1000</f>
        <v>252.01743060000001</v>
      </c>
      <c r="O120" s="87">
        <f>IF(D120&lt;400,H120+I120*'Factores generales'!$M$41+J120*'Factores generales'!$N$41,I120*'Factores generales'!$M$41+J120*'Factores generales'!$N$41)</f>
        <v>514926.21449243004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Actividad'!$S117*'FE Sectorial'!$H120*'FE Sectorial'!I120*'FE Sectorial'!P120/1000</f>
        <v>1158930.5193576</v>
      </c>
      <c r="I121" s="17">
        <f>'Datos Actividad'!$S117*'FE Sectorial'!$H120*'FE Sectorial'!J120/1000/1000</f>
        <v>105.87155320000001</v>
      </c>
      <c r="J121" s="17">
        <f>'Datos Actividad'!$S117*'FE Sectorial'!$H120*'FE Sectorial'!K120/1000/1000</f>
        <v>30.249015199999999</v>
      </c>
      <c r="K121" s="17">
        <f>'Datos Actividad'!$S117*'FE Sectorial'!$H120*'FE Sectorial'!L120/1000/1000</f>
        <v>22686.761399999999</v>
      </c>
      <c r="L121" s="17">
        <f>'Datos Actividad'!$S117*'FE Sectorial'!$H120*'FE Sectorial'!M120/1000/1000</f>
        <v>15124.507599999999</v>
      </c>
      <c r="M121" s="17">
        <f>'Datos Actividad'!$S117*'FE Sectorial'!$H120*'FE Sectorial'!N120/1000/1000</f>
        <v>3024.9015199999999</v>
      </c>
      <c r="N121" s="17">
        <f>'Datos Actividad'!$S117*'FE Sectorial'!$H120*'FE Sectorial'!O120/1000/1000</f>
        <v>2994.9520000000002</v>
      </c>
      <c r="O121" s="87">
        <f>IF(D121&lt;400,H121+I121*'Factores generales'!$M$41+J121*'Factores generales'!$N$41,I121*'Factores generales'!$M$41+J121*'Factores generales'!$N$41)</f>
        <v>1170531.0166867999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448015.54755538615</v>
      </c>
      <c r="I122" s="15">
        <f t="shared" ref="I122:O122" si="33">I123+I124</f>
        <v>41.679009957983382</v>
      </c>
      <c r="J122" s="15">
        <f t="shared" si="33"/>
        <v>11.908288559423823</v>
      </c>
      <c r="K122" s="15">
        <f t="shared" si="33"/>
        <v>8931.216419567867</v>
      </c>
      <c r="L122" s="15">
        <f t="shared" si="33"/>
        <v>5954.1442797119116</v>
      </c>
      <c r="M122" s="15">
        <f t="shared" si="33"/>
        <v>1190.8288559423822</v>
      </c>
      <c r="N122" s="15">
        <f t="shared" si="33"/>
        <v>771.7552064267577</v>
      </c>
      <c r="O122" s="15">
        <f t="shared" si="33"/>
        <v>452582.37621792516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Actividad'!$S119*'FE Sectorial'!$H122*'FE Sectorial'!I122*'FE Sectorial'!P122/1000</f>
        <v>184727.07903538609</v>
      </c>
      <c r="I123" s="17">
        <f>'Datos Actividad'!$S119*'FE Sectorial'!$H122*'FE Sectorial'!J122/1000/1000</f>
        <v>17.626869957983381</v>
      </c>
      <c r="J123" s="17">
        <f>'Datos Actividad'!$S119*'FE Sectorial'!$H122*'FE Sectorial'!K122/1000/1000</f>
        <v>5.0362485594238233</v>
      </c>
      <c r="K123" s="17">
        <f>'Datos Actividad'!$S119*'FE Sectorial'!$H122*'FE Sectorial'!L122/1000/1000</f>
        <v>3777.1864195678672</v>
      </c>
      <c r="L123" s="17">
        <f>'Datos Actividad'!$S119*'FE Sectorial'!$H122*'FE Sectorial'!M122/1000/1000</f>
        <v>2518.1242797119116</v>
      </c>
      <c r="M123" s="17">
        <f>'Datos Actividad'!$S119*'FE Sectorial'!$H122*'FE Sectorial'!N122/1000/1000</f>
        <v>503.62485594238228</v>
      </c>
      <c r="N123" s="17">
        <f>'Datos Actividad'!$S119*'FE Sectorial'!$H122*'FE Sectorial'!O122/1000/1000</f>
        <v>91.355206426757718</v>
      </c>
      <c r="O123" s="87">
        <f>IF(D123&lt;400,H123+I123*'Factores generales'!$M$41+J123*'Factores generales'!$N$41,I123*'Factores generales'!$M$41+J123*'Factores generales'!$N$41)</f>
        <v>186658.48035792512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Actividad'!$S120*'FE Sectorial'!$H123*'FE Sectorial'!I123*'FE Sectorial'!P123/1000</f>
        <v>263288.46852000005</v>
      </c>
      <c r="I124" s="17">
        <f>'Datos Actividad'!$S120*'FE Sectorial'!$H123*'FE Sectorial'!J123/1000/1000</f>
        <v>24.052139999999998</v>
      </c>
      <c r="J124" s="17">
        <f>'Datos Actividad'!$S120*'FE Sectorial'!$H123*'FE Sectorial'!K123/1000/1000</f>
        <v>6.8720400000000001</v>
      </c>
      <c r="K124" s="17">
        <f>'Datos Actividad'!$S120*'FE Sectorial'!$H123*'FE Sectorial'!L123/1000/1000</f>
        <v>5154.03</v>
      </c>
      <c r="L124" s="17">
        <f>'Datos Actividad'!$S120*'FE Sectorial'!$H123*'FE Sectorial'!M123/1000/1000</f>
        <v>3436.02</v>
      </c>
      <c r="M124" s="17">
        <f>'Datos Actividad'!$S120*'FE Sectorial'!$H123*'FE Sectorial'!N123/1000/1000</f>
        <v>687.20399999999995</v>
      </c>
      <c r="N124" s="17">
        <f>'Datos Actividad'!$S120*'FE Sectorial'!$H123*'FE Sectorial'!O123/1000/1000</f>
        <v>680.4</v>
      </c>
      <c r="O124" s="87">
        <f>IF(D124&lt;400,H124+I124*'Factores generales'!$M$41+J124*'Factores generales'!$N$41,I124*'Factores generales'!$M$41+J124*'Factores generales'!$N$41)</f>
        <v>265923.89586000005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1813338.4158869763</v>
      </c>
      <c r="I125" s="134">
        <f t="shared" si="34"/>
        <v>32.595674485500005</v>
      </c>
      <c r="J125" s="134">
        <f t="shared" si="34"/>
        <v>3.2806976485500008</v>
      </c>
      <c r="K125" s="134">
        <f t="shared" si="34"/>
        <v>4871.7426728250011</v>
      </c>
      <c r="L125" s="134">
        <f t="shared" si="34"/>
        <v>648.74395971000013</v>
      </c>
      <c r="M125" s="134">
        <f t="shared" si="34"/>
        <v>162.27403242750003</v>
      </c>
      <c r="N125" s="134">
        <f t="shared" si="34"/>
        <v>2.5552800000000002</v>
      </c>
      <c r="O125" s="134">
        <f t="shared" si="34"/>
        <v>1815039.9413222226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1813338.4158869763</v>
      </c>
      <c r="I126" s="15">
        <f t="shared" si="35"/>
        <v>32.595674485500005</v>
      </c>
      <c r="J126" s="15">
        <f t="shared" si="35"/>
        <v>3.2806976485500008</v>
      </c>
      <c r="K126" s="15">
        <f t="shared" si="35"/>
        <v>4871.7426728250011</v>
      </c>
      <c r="L126" s="15">
        <f t="shared" si="35"/>
        <v>648.74395971000013</v>
      </c>
      <c r="M126" s="15">
        <f t="shared" si="35"/>
        <v>162.27403242750003</v>
      </c>
      <c r="N126" s="15">
        <f t="shared" si="35"/>
        <v>2.5552800000000002</v>
      </c>
      <c r="O126" s="15">
        <f t="shared" si="35"/>
        <v>1815039.9413222226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Actividad'!$S123*'FE Sectorial'!$H126*'FE Sectorial'!I126*'FE Sectorial'!P126/1000</f>
        <v>1789279.8720192004</v>
      </c>
      <c r="I127" s="17">
        <f>'Datos Actividad'!$S123*'FE Sectorial'!$H126*'FE Sectorial'!J126/1000/1000</f>
        <v>32.054745600000004</v>
      </c>
      <c r="J127" s="17">
        <f>'Datos Actividad'!$S123*'FE Sectorial'!$H126*'FE Sectorial'!K126/1000/1000</f>
        <v>3.2054745600000007</v>
      </c>
      <c r="K127" s="17">
        <f>'Datos Actividad'!$S123*'FE Sectorial'!$H126*'FE Sectorial'!L126/1000/1000</f>
        <v>4808.2118400000008</v>
      </c>
      <c r="L127" s="17">
        <f>'Datos Actividad'!$S123*'FE Sectorial'!$H126*'FE Sectorial'!M126/1000/1000</f>
        <v>641.09491200000014</v>
      </c>
      <c r="M127" s="17">
        <f>'Datos Actividad'!$S123*'FE Sectorial'!$H126*'FE Sectorial'!N126/1000/1000</f>
        <v>160.27372800000003</v>
      </c>
      <c r="N127" s="17">
        <f>'Datos Actividad'!$S123*'FE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1790946.7187904005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Actividad'!$S124*'FE Sectorial'!$H127*'FE Sectorial'!I127*'FE Sectorial'!P127/1000</f>
        <v>5166.9678059999997</v>
      </c>
      <c r="I128" s="17">
        <f>'Datos Actividad'!$S124*'FE Sectorial'!$H127*'FE Sectorial'!J127/1000/1000</f>
        <v>0.21130199999999999</v>
      </c>
      <c r="J128" s="17">
        <f>'Datos Actividad'!$S124*'FE Sectorial'!$H127*'FE Sectorial'!K127/1000/1000</f>
        <v>4.2260400000000004E-2</v>
      </c>
      <c r="K128" s="17">
        <f>'Datos Actividad'!$S124*'FE Sectorial'!$H127*'FE Sectorial'!L127/1000/1000</f>
        <v>14.086799999999998</v>
      </c>
      <c r="L128" s="17">
        <f>'Datos Actividad'!$S124*'FE Sectorial'!$H127*'FE Sectorial'!M127/1000/1000</f>
        <v>1.0565100000000001</v>
      </c>
      <c r="M128" s="17">
        <f>'Datos Actividad'!$S124*'FE Sectorial'!$H127*'FE Sectorial'!N127/1000/1000</f>
        <v>0.35217000000000004</v>
      </c>
      <c r="N128" s="17">
        <f>'Datos Actividad'!$S124*'FE Sectorial'!$H127*'FE Sectorial'!O127/1000/1000</f>
        <v>2.5552800000000002</v>
      </c>
      <c r="O128" s="87">
        <f>IF(D128&lt;400,H128+I128*'Factores generales'!$M$41+J128*'Factores generales'!$N$41,I128*'Factores generales'!$M$41+J128*'Factores generales'!$N$41)</f>
        <v>5184.5058719999997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Actividad'!$S125*'FE Sectorial'!$H128*'FE Sectorial'!I128*'FE Sectorial'!P128/1000</f>
        <v>18891.576061776002</v>
      </c>
      <c r="I129" s="17">
        <f>'Datos Actividad'!$S125*'FE Sectorial'!$H128*'FE Sectorial'!J128/1000/1000</f>
        <v>0.32962688550000002</v>
      </c>
      <c r="J129" s="17">
        <f>'Datos Actividad'!$S125*'FE Sectorial'!$H128*'FE Sectorial'!K128/1000/1000</f>
        <v>3.2962688550000001E-2</v>
      </c>
      <c r="K129" s="17">
        <f>'Datos Actividad'!$S125*'FE Sectorial'!$H128*'FE Sectorial'!L128/1000/1000</f>
        <v>49.444032825000001</v>
      </c>
      <c r="L129" s="17">
        <f>'Datos Actividad'!$S125*'FE Sectorial'!$H128*'FE Sectorial'!M128/1000/1000</f>
        <v>6.5925377100000002</v>
      </c>
      <c r="M129" s="17">
        <f>'Datos Actividad'!$S125*'FE Sectorial'!$H128*'FE Sectorial'!N128/1000/1000</f>
        <v>1.6481344275000001</v>
      </c>
      <c r="N129" s="17">
        <f>'Datos Actividad'!$S125*'FE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18908.716659822003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25797373.486369785</v>
      </c>
      <c r="I131" s="129">
        <f t="shared" si="36"/>
        <v>2553.8798972142599</v>
      </c>
      <c r="J131" s="129">
        <f t="shared" si="36"/>
        <v>195.80503594400341</v>
      </c>
      <c r="K131" s="129">
        <f t="shared" si="36"/>
        <v>174071.27766136482</v>
      </c>
      <c r="L131" s="129">
        <f t="shared" si="36"/>
        <v>250096.99139056206</v>
      </c>
      <c r="M131" s="129">
        <f t="shared" si="36"/>
        <v>32925.690084874775</v>
      </c>
      <c r="N131" s="129">
        <f t="shared" si="36"/>
        <v>8712.5827953438729</v>
      </c>
      <c r="O131" s="129">
        <f t="shared" si="36"/>
        <v>25911704.525353927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2899310.6483972981</v>
      </c>
      <c r="I132" s="134">
        <f>SUM(I133:I137)</f>
        <v>62.353083490662371</v>
      </c>
      <c r="J132" s="134">
        <f t="shared" ref="J132:O132" si="37">SUM(J133:J137)</f>
        <v>8.1376371667132954</v>
      </c>
      <c r="K132" s="134">
        <f t="shared" si="37"/>
        <v>7133.5789030111209</v>
      </c>
      <c r="L132" s="134">
        <f t="shared" si="37"/>
        <v>2293.3116868860598</v>
      </c>
      <c r="M132" s="134">
        <f t="shared" si="37"/>
        <v>248.35445686507657</v>
      </c>
      <c r="N132" s="134">
        <f t="shared" si="37"/>
        <v>666.59059394037081</v>
      </c>
      <c r="O132" s="134">
        <f t="shared" si="37"/>
        <v>2903142.7306722831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Actividad'!$S129*'FE Sectorial'!$H132*'FE Sectorial'!I132*'FE Sectorial'!P132/1000</f>
        <v>0</v>
      </c>
      <c r="I133" s="17">
        <f>'Datos Actividad'!$S129*'FE Sectorial'!$H132*'FE Sectorial'!J132/1000/1000</f>
        <v>0</v>
      </c>
      <c r="J133" s="17">
        <f>'Datos Actividad'!$S129*'FE Sectorial'!$H132*'FE Sectorial'!K132/1000/1000</f>
        <v>0</v>
      </c>
      <c r="K133" s="17">
        <f>'Datos Actividad'!$S129*'FE Sectorial'!$H132*'FE Sectorial'!L132/1000/1000</f>
        <v>0</v>
      </c>
      <c r="L133" s="17">
        <f>'Datos Actividad'!$S129*'FE Sectorial'!$H132*'FE Sectorial'!M132/1000/1000</f>
        <v>0</v>
      </c>
      <c r="M133" s="17">
        <f>'Datos Actividad'!$S129*'FE Sectorial'!$H132*'FE Sectorial'!N132/1000/1000</f>
        <v>0</v>
      </c>
      <c r="N133" s="17">
        <f>'Datos Actividad'!$S129*'FE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Actividad'!$S130*'FE Sectorial'!$H133*'FE Sectorial'!I133*'FE Sectorial'!P133/1000</f>
        <v>2361936.1209816243</v>
      </c>
      <c r="I134" s="17">
        <f>'Datos Actividad'!$S130*'FE Sectorial'!$H133*'FE Sectorial'!J133/1000/1000</f>
        <v>42.313817231999998</v>
      </c>
      <c r="J134" s="17">
        <f>'Datos Actividad'!$S130*'FE Sectorial'!$H133*'FE Sectorial'!K133/1000/1000</f>
        <v>4.2313817232000002</v>
      </c>
      <c r="K134" s="17">
        <f>'Datos Actividad'!$S130*'FE Sectorial'!$H133*'FE Sectorial'!L133/1000/1000</f>
        <v>6347.0725848000002</v>
      </c>
      <c r="L134" s="17">
        <f>'Datos Actividad'!$S130*'FE Sectorial'!$H133*'FE Sectorial'!M133/1000/1000</f>
        <v>2115.6908616000001</v>
      </c>
      <c r="M134" s="17">
        <f>'Datos Actividad'!$S130*'FE Sectorial'!$H133*'FE Sectorial'!N133/1000/1000</f>
        <v>211.56908616000001</v>
      </c>
      <c r="N134" s="17">
        <f>'Datos Actividad'!$S130*'FE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2364136.4394776886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Actividad'!$S131*'FE Sectorial'!$H134*'FE Sectorial'!I134*'FE Sectorial'!P134/1000</f>
        <v>63467.134816438353</v>
      </c>
      <c r="I135" s="17">
        <f>'Datos Actividad'!$S131*'FE Sectorial'!$H134*'FE Sectorial'!J134/1000/1000</f>
        <v>1.0159780821917808</v>
      </c>
      <c r="J135" s="17">
        <f>'Datos Actividad'!$S131*'FE Sectorial'!$H134*'FE Sectorial'!K134/1000/1000</f>
        <v>0.10159780821917809</v>
      </c>
      <c r="K135" s="17">
        <f>'Datos Actividad'!$S131*'FE Sectorial'!$H134*'FE Sectorial'!L134/1000/1000</f>
        <v>152.39671232876711</v>
      </c>
      <c r="L135" s="17">
        <f>'Datos Actividad'!$S131*'FE Sectorial'!$H134*'FE Sectorial'!M134/1000/1000</f>
        <v>50.798904109589046</v>
      </c>
      <c r="M135" s="17">
        <f>'Datos Actividad'!$S131*'FE Sectorial'!$H134*'FE Sectorial'!N134/1000/1000</f>
        <v>5.079890410958904</v>
      </c>
      <c r="N135" s="17">
        <f>'Datos Actividad'!$S131*'FE Sectorial'!$H134*'FE Sectorial'!O134/1000/1000</f>
        <v>4.2958904109589051</v>
      </c>
      <c r="O135" s="87">
        <f>IF(D135&lt;400,H135+I135*'Factores generales'!$M$41+J135*'Factores generales'!$N$41,I135*'Factores generales'!$M$41+J135*'Factores generales'!$N$41)</f>
        <v>63519.965676712323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Actividad'!$S132*'FE Sectorial'!$H135*'FE Sectorial'!I135*'FE Sectorial'!P135/1000</f>
        <v>269127.47263923526</v>
      </c>
      <c r="I136" s="17">
        <f>'Datos Actividad'!$S132*'FE Sectorial'!$H135*'FE Sectorial'!J135/1000/1000</f>
        <v>11.005908176470589</v>
      </c>
      <c r="J136" s="17">
        <f>'Datos Actividad'!$S132*'FE Sectorial'!$H135*'FE Sectorial'!K135/1000/1000</f>
        <v>2.2011816352941174</v>
      </c>
      <c r="K136" s="17">
        <f>'Datos Actividad'!$S132*'FE Sectorial'!$H135*'FE Sectorial'!L135/1000/1000</f>
        <v>366.863605882353</v>
      </c>
      <c r="L136" s="17">
        <f>'Datos Actividad'!$S132*'FE Sectorial'!$H135*'FE Sectorial'!M135/1000/1000</f>
        <v>73.372721176470591</v>
      </c>
      <c r="M136" s="17">
        <f>'Datos Actividad'!$S132*'FE Sectorial'!$H135*'FE Sectorial'!N135/1000/1000</f>
        <v>18.343180294117648</v>
      </c>
      <c r="N136" s="17">
        <f>'Datos Actividad'!$S132*'FE Sectorial'!$H135*'FE Sectorial'!O135/1000/1000</f>
        <v>133.09470352941179</v>
      </c>
      <c r="O136" s="87">
        <f>IF(D136&lt;400,H136+I136*'Factores generales'!$M$41+J136*'Factores generales'!$N$41,I136*'Factores generales'!$M$41+J136*'Factores generales'!$N$41)</f>
        <v>270040.96301788231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Actividad'!$S133*'FE Sectorial'!$H136*'FE Sectorial'!I136*'FE Sectorial'!P136/1000</f>
        <v>204779.91996000003</v>
      </c>
      <c r="I137" s="17">
        <f>'Datos Actividad'!$S133*'FE Sectorial'!$H136*'FE Sectorial'!J136/1000/1000</f>
        <v>8.0173799999999993</v>
      </c>
      <c r="J137" s="17">
        <f>'Datos Actividad'!$S133*'FE Sectorial'!$H136*'FE Sectorial'!K136/1000/1000</f>
        <v>1.6034760000000001</v>
      </c>
      <c r="K137" s="17">
        <f>'Datos Actividad'!$S133*'FE Sectorial'!$H136*'FE Sectorial'!L136/1000/1000</f>
        <v>267.24599999999998</v>
      </c>
      <c r="L137" s="17">
        <f>'Datos Actividad'!$S133*'FE Sectorial'!$H136*'FE Sectorial'!M136/1000/1000</f>
        <v>53.449199999999998</v>
      </c>
      <c r="M137" s="17">
        <f>'Datos Actividad'!$S133*'FE Sectorial'!$H136*'FE Sectorial'!N136/1000/1000</f>
        <v>13.362299999999999</v>
      </c>
      <c r="N137" s="17">
        <f>'Datos Actividad'!$S133*'FE Sectorial'!$H136*'FE Sectorial'!O136/1000/1000</f>
        <v>529.20000000000005</v>
      </c>
      <c r="O137" s="87">
        <f>IF(D137&lt;400,H137+I137*'Factores generales'!$M$41+J137*'Factores generales'!$N$41,I137*'Factores generales'!$M$41+J137*'Factores generales'!$N$41)</f>
        <v>205445.36250000005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15229997.601207785</v>
      </c>
      <c r="I138" s="134">
        <f>SUM(I139:I144)</f>
        <v>2177.9429901941858</v>
      </c>
      <c r="J138" s="134">
        <f t="shared" ref="J138:O138" si="38">SUM(J139:J144)</f>
        <v>124.95063407140775</v>
      </c>
      <c r="K138" s="134">
        <f t="shared" si="38"/>
        <v>41504.169346588998</v>
      </c>
      <c r="L138" s="134">
        <f t="shared" si="38"/>
        <v>143275.73852720542</v>
      </c>
      <c r="M138" s="134">
        <f t="shared" si="38"/>
        <v>11771.747392715579</v>
      </c>
      <c r="N138" s="134">
        <f t="shared" si="38"/>
        <v>4253.8157308152677</v>
      </c>
      <c r="O138" s="134">
        <f t="shared" si="38"/>
        <v>15314469.100563999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Actividad'!$S135*'FE Sectorial'!$H138*'FE Sectorial'!I138*'FE Sectorial'!P138/1000</f>
        <v>1360457.28</v>
      </c>
      <c r="I139" s="17">
        <f>'Datos Actividad'!$S135*'FE Sectorial'!$H138*'FE Sectorial'!J138/1000/1000</f>
        <v>418.86</v>
      </c>
      <c r="J139" s="17">
        <f>'Datos Actividad'!$S135*'FE Sectorial'!$H138*'FE Sectorial'!K138/1000/1000</f>
        <v>55.847999999999999</v>
      </c>
      <c r="K139" s="17">
        <f>'Datos Actividad'!$S135*'FE Sectorial'!$H138*'FE Sectorial'!L138/1000/1000</f>
        <v>1396.2</v>
      </c>
      <c r="L139" s="17">
        <f>'Datos Actividad'!$S135*'FE Sectorial'!$H138*'FE Sectorial'!M138/1000/1000</f>
        <v>69810</v>
      </c>
      <c r="M139" s="17">
        <f>'Datos Actividad'!$S135*'FE Sectorial'!$H138*'FE Sectorial'!N138/1000/1000</f>
        <v>8377.2000000000007</v>
      </c>
      <c r="N139" s="17">
        <f>'Datos Actividad'!$S135*'FE Sectorial'!$H138*'FE Sectorial'!O138/1000/1000</f>
        <v>3580</v>
      </c>
      <c r="O139" s="87">
        <f>IF(D139&lt;400,H139+I139*'Factores generales'!$M$41+J139*'Factores generales'!$N$41,I139*'Factores generales'!$M$41+J139*'Factores generales'!$N$41)</f>
        <v>26108.940000000002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Actividad'!$S136*'FE Sectorial'!$H139*'FE Sectorial'!I139*'FE Sectorial'!P139/1000</f>
        <v>198427.84982597202</v>
      </c>
      <c r="I140" s="17">
        <f>'Datos Actividad'!$S136*'FE Sectorial'!$H139*'FE Sectorial'!J139/1000/1000</f>
        <v>68.423396491714485</v>
      </c>
      <c r="J140" s="17">
        <f>'Datos Actividad'!$S136*'FE Sectorial'!$H139*'FE Sectorial'!K139/1000/1000</f>
        <v>9.1231195322285981</v>
      </c>
      <c r="K140" s="17">
        <f>'Datos Actividad'!$S136*'FE Sectorial'!$H139*'FE Sectorial'!L139/1000/1000</f>
        <v>228.07798830571497</v>
      </c>
      <c r="L140" s="17">
        <f>'Datos Actividad'!$S136*'FE Sectorial'!$H139*'FE Sectorial'!M139/1000/1000</f>
        <v>11403.899415285747</v>
      </c>
      <c r="M140" s="17">
        <f>'Datos Actividad'!$S136*'FE Sectorial'!$H139*'FE Sectorial'!N139/1000/1000</f>
        <v>1368.4679298342896</v>
      </c>
      <c r="N140" s="17">
        <f>'Datos Actividad'!$S136*'FE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4265.0583813168696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Actividad'!$S137*'FE Sectorial'!$H140*'FE Sectorial'!I140*'FE Sectorial'!P140/1000</f>
        <v>11765911.82939964</v>
      </c>
      <c r="I141" s="17">
        <f>'Datos Actividad'!$S137*'FE Sectorial'!$H140*'FE Sectorial'!J140/1000/1000</f>
        <v>210.78497351999999</v>
      </c>
      <c r="J141" s="17">
        <f>'Datos Actividad'!$S137*'FE Sectorial'!$H140*'FE Sectorial'!K140/1000/1000</f>
        <v>21.078497352000003</v>
      </c>
      <c r="K141" s="17">
        <f>'Datos Actividad'!$S137*'FE Sectorial'!$H140*'FE Sectorial'!L140/1000/1000</f>
        <v>31617.746028000001</v>
      </c>
      <c r="L141" s="17">
        <f>'Datos Actividad'!$S137*'FE Sectorial'!$H140*'FE Sectorial'!M140/1000/1000</f>
        <v>10539.248676000001</v>
      </c>
      <c r="M141" s="17">
        <f>'Datos Actividad'!$S137*'FE Sectorial'!$H140*'FE Sectorial'!N140/1000/1000</f>
        <v>1053.9248676</v>
      </c>
      <c r="N141" s="17">
        <f>'Datos Actividad'!$S137*'FE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11776872.64802268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Actividad'!$S138*'FE Sectorial'!$H141*'FE Sectorial'!I141*'FE Sectorial'!P141/1000</f>
        <v>2697353.22969863</v>
      </c>
      <c r="I142" s="17">
        <f>'Datos Actividad'!$S138*'FE Sectorial'!$H141*'FE Sectorial'!J141/1000/1000</f>
        <v>43.179068493150687</v>
      </c>
      <c r="J142" s="17">
        <f>'Datos Actividad'!$S138*'FE Sectorial'!$H141*'FE Sectorial'!K141/1000/1000</f>
        <v>4.3179068493150687</v>
      </c>
      <c r="K142" s="17">
        <f>'Datos Actividad'!$S138*'FE Sectorial'!$H141*'FE Sectorial'!L141/1000/1000</f>
        <v>6476.860273972602</v>
      </c>
      <c r="L142" s="17">
        <f>'Datos Actividad'!$S138*'FE Sectorial'!$H141*'FE Sectorial'!M141/1000/1000</f>
        <v>2158.9534246575345</v>
      </c>
      <c r="M142" s="17">
        <f>'Datos Actividad'!$S138*'FE Sectorial'!$H141*'FE Sectorial'!N141/1000/1000</f>
        <v>215.8953424657534</v>
      </c>
      <c r="N142" s="17">
        <f>'Datos Actividad'!$S138*'FE Sectorial'!$H141*'FE Sectorial'!O141/1000/1000</f>
        <v>182.57534246575344</v>
      </c>
      <c r="O142" s="87">
        <f>IF(D142&lt;400,H142+I142*'Factores generales'!$M$41+J142*'Factores generales'!$N$41,I142*'Factores generales'!$M$41+J142*'Factores generales'!$N$41)</f>
        <v>2699598.5412602737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Actividad'!$S139*'FE Sectorial'!$H142*'FE Sectorial'!I142*'FE Sectorial'!P142/1000</f>
        <v>766732.54210951459</v>
      </c>
      <c r="I143" s="17">
        <f>'Datos Actividad'!$S139*'FE Sectorial'!$H142*'FE Sectorial'!J142/1000/1000</f>
        <v>32.495551689320394</v>
      </c>
      <c r="J143" s="17">
        <f>'Datos Actividad'!$S139*'FE Sectorial'!$H142*'FE Sectorial'!K142/1000/1000</f>
        <v>6.499110337864078</v>
      </c>
      <c r="K143" s="17">
        <f>'Datos Actividad'!$S139*'FE Sectorial'!$H142*'FE Sectorial'!L142/1000/1000</f>
        <v>1083.1850563106798</v>
      </c>
      <c r="L143" s="17">
        <f>'Datos Actividad'!$S139*'FE Sectorial'!$H142*'FE Sectorial'!M142/1000/1000</f>
        <v>216.63701126213596</v>
      </c>
      <c r="M143" s="17">
        <f>'Datos Actividad'!$S139*'FE Sectorial'!$H142*'FE Sectorial'!N142/1000/1000</f>
        <v>54.159252815533989</v>
      </c>
      <c r="N143" s="17">
        <f>'Datos Actividad'!$S139*'FE Sectorial'!$H142*'FE Sectorial'!O142/1000/1000</f>
        <v>491.2403883495146</v>
      </c>
      <c r="O143" s="87">
        <f>IF(D143&lt;400,H143+I143*'Factores generales'!$M$41+J143*'Factores generales'!$N$41,I143*'Factores generales'!$M$41+J143*'Factores generales'!$N$41)</f>
        <v>769429.67289972818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Actividad'!$S140*'FE Sectorial'!$H143*'FE Sectorial'!I143*'FE Sectorial'!P143/1000</f>
        <v>684126.24</v>
      </c>
      <c r="I144" s="17">
        <f>'Datos Actividad'!$S140*'FE Sectorial'!$H143*'FE Sectorial'!J143/1000/1000</f>
        <v>1404.2</v>
      </c>
      <c r="J144" s="17">
        <f>'Datos Actividad'!$S140*'FE Sectorial'!$H143*'FE Sectorial'!K143/1000/1000</f>
        <v>28.084</v>
      </c>
      <c r="K144" s="17">
        <f>'Datos Actividad'!$S140*'FE Sectorial'!$H143*'FE Sectorial'!L143/1000/1000</f>
        <v>702.1</v>
      </c>
      <c r="L144" s="17">
        <f>'Datos Actividad'!$S140*'FE Sectorial'!$H143*'FE Sectorial'!M143/1000/1000</f>
        <v>49147</v>
      </c>
      <c r="M144" s="17">
        <f>'Datos Actividad'!$S140*'FE Sectorial'!$H143*'FE Sectorial'!N143/1000/1000</f>
        <v>702.1</v>
      </c>
      <c r="N144" s="17">
        <f>'Datos Actividad'!$S140*'FE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38194.239999999998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7668065.2367647039</v>
      </c>
      <c r="I145" s="134">
        <f t="shared" ref="I145:O145" si="39">SUM(I146:I149)</f>
        <v>313.58382352941175</v>
      </c>
      <c r="J145" s="134">
        <f t="shared" si="39"/>
        <v>62.716764705882341</v>
      </c>
      <c r="K145" s="134">
        <f t="shared" si="39"/>
        <v>125433.5294117647</v>
      </c>
      <c r="L145" s="134">
        <f t="shared" si="39"/>
        <v>104527.94117647057</v>
      </c>
      <c r="M145" s="134">
        <f t="shared" si="39"/>
        <v>20905.588235294119</v>
      </c>
      <c r="N145" s="134">
        <f t="shared" si="39"/>
        <v>3792.1764705882347</v>
      </c>
      <c r="O145" s="134">
        <f t="shared" si="39"/>
        <v>7694092.6941176457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Actividad'!$S142*'FE Sectorial'!$H145*'FE Sectorial'!I145*'FE Sectorial'!P145/1000</f>
        <v>0</v>
      </c>
      <c r="I146" s="17">
        <f>'Datos Actividad'!$S142*'FE Sectorial'!$H145*'FE Sectorial'!J145/1000/1000</f>
        <v>0</v>
      </c>
      <c r="J146" s="17">
        <f>'Datos Actividad'!$S142*'FE Sectorial'!$H145*'FE Sectorial'!K145/1000/1000</f>
        <v>0</v>
      </c>
      <c r="K146" s="17">
        <f>'Datos Actividad'!$S142*'FE Sectorial'!$H145*'FE Sectorial'!L145/1000/1000</f>
        <v>0</v>
      </c>
      <c r="L146" s="17">
        <f>'Datos Actividad'!$S142*'FE Sectorial'!$H145*'FE Sectorial'!M145/1000/1000</f>
        <v>0</v>
      </c>
      <c r="M146" s="17">
        <f>'Datos Actividad'!$S142*'FE Sectorial'!$H145*'FE Sectorial'!N145/1000/1000</f>
        <v>0</v>
      </c>
      <c r="N146" s="17">
        <f>'Datos Actividad'!$S142*'FE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Actividad'!$S143*'FE Sectorial'!$H146*'FE Sectorial'!I146*'FE Sectorial'!P146/1000</f>
        <v>0</v>
      </c>
      <c r="I147" s="17">
        <f>'Datos Actividad'!$S143*'FE Sectorial'!$H146*'FE Sectorial'!J146/1000/1000</f>
        <v>0</v>
      </c>
      <c r="J147" s="17">
        <f>'Datos Actividad'!$S143*'FE Sectorial'!$H146*'FE Sectorial'!K146/1000/1000</f>
        <v>0</v>
      </c>
      <c r="K147" s="17">
        <f>'Datos Actividad'!$S143*'FE Sectorial'!$H146*'FE Sectorial'!L146/1000/1000</f>
        <v>0</v>
      </c>
      <c r="L147" s="17">
        <f>'Datos Actividad'!$S143*'FE Sectorial'!$H146*'FE Sectorial'!M146/1000/1000</f>
        <v>0</v>
      </c>
      <c r="M147" s="17">
        <f>'Datos Actividad'!$S143*'FE Sectorial'!$H146*'FE Sectorial'!N146/1000/1000</f>
        <v>0</v>
      </c>
      <c r="N147" s="17">
        <f>'Datos Actividad'!$S143*'FE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Actividad'!$S144*'FE Sectorial'!$H147*'FE Sectorial'!I147*'FE Sectorial'!P147/1000</f>
        <v>7668065.2367647039</v>
      </c>
      <c r="I148" s="17">
        <f>'Datos Actividad'!$S144*'FE Sectorial'!$H147*'FE Sectorial'!J147/1000/1000</f>
        <v>313.58382352941175</v>
      </c>
      <c r="J148" s="17">
        <f>'Datos Actividad'!$S144*'FE Sectorial'!$H147*'FE Sectorial'!K147/1000/1000</f>
        <v>62.716764705882341</v>
      </c>
      <c r="K148" s="17">
        <f>'Datos Actividad'!$S144*'FE Sectorial'!$H147*'FE Sectorial'!L147/1000/1000</f>
        <v>125433.5294117647</v>
      </c>
      <c r="L148" s="17">
        <f>'Datos Actividad'!$S144*'FE Sectorial'!$H147*'FE Sectorial'!M147/1000/1000</f>
        <v>104527.94117647057</v>
      </c>
      <c r="M148" s="17">
        <f>'Datos Actividad'!$S144*'FE Sectorial'!$H147*'FE Sectorial'!N147/1000/1000</f>
        <v>20905.588235294119</v>
      </c>
      <c r="N148" s="17">
        <f>'Datos Actividad'!$S144*'FE Sectorial'!$H147*'FE Sectorial'!O147/1000/1000</f>
        <v>3792.1764705882347</v>
      </c>
      <c r="O148" s="87">
        <f>IF(D148&lt;400,H148+I148*'Factores generales'!$M$41+J148*'Factores generales'!$N$41,I148*'Factores generales'!$M$41+J148*'Factores generales'!$N$41)</f>
        <v>7694092.6941176457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Actividad'!$S145*'FE Sectorial'!$H148*'FE Sectorial'!I148*'FE Sectorial'!P148/1000</f>
        <v>0</v>
      </c>
      <c r="I149" s="17">
        <f>'Datos Actividad'!$S145*'FE Sectorial'!$H148*'FE Sectorial'!J148/1000/1000</f>
        <v>0</v>
      </c>
      <c r="J149" s="17">
        <f>'Datos Actividad'!$S145*'FE Sectorial'!$H148*'FE Sectorial'!K148/1000/1000</f>
        <v>0</v>
      </c>
      <c r="K149" s="17">
        <f>'Datos Actividad'!$S145*'FE Sectorial'!$H148*'FE Sectorial'!L148/1000/1000</f>
        <v>0</v>
      </c>
      <c r="L149" s="17">
        <f>'Datos Actividad'!$S145*'FE Sectorial'!$H148*'FE Sectorial'!M148/1000/1000</f>
        <v>0</v>
      </c>
      <c r="M149" s="17">
        <f>'Datos Actividad'!$S145*'FE Sectorial'!$H148*'FE Sectorial'!N148/1000/1000</f>
        <v>0</v>
      </c>
      <c r="N149" s="17">
        <f>'Datos Actividad'!$S145*'FE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Actividad'!$S147*'FE Sectorial'!$H150*'FE Sectorial'!I150*'FE Sectorial'!P150/1000</f>
        <v>0</v>
      </c>
      <c r="I151" s="134">
        <f>'Datos Actividad'!$S147*'FE Sectorial'!$H150*'FE Sectorial'!J150/1000/1000</f>
        <v>0</v>
      </c>
      <c r="J151" s="134">
        <f>'Datos Actividad'!$S147*'FE Sectorial'!$H150*'FE Sectorial'!K150/1000/1000</f>
        <v>0</v>
      </c>
      <c r="K151" s="134">
        <f>'Datos Actividad'!$S147*'FE Sectorial'!$H150*'FE Sectorial'!L150/1000/1000</f>
        <v>0</v>
      </c>
      <c r="L151" s="134">
        <f>'Datos Actividad'!$S147*'FE Sectorial'!$H150*'FE Sectorial'!M150/1000/1000</f>
        <v>0</v>
      </c>
      <c r="M151" s="134">
        <f>'Datos Actividad'!$S147*'FE Sectorial'!$H150*'FE Sectorial'!N150/1000/1000</f>
        <v>0</v>
      </c>
      <c r="N151" s="134">
        <f>'Datos Actividad'!$S147*'FE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Actividad'!$S148*'FE Sectorial'!$H151*'FE Sectorial'!I151*'FE Sectorial'!P151/1000</f>
        <v>0</v>
      </c>
      <c r="I152" s="134">
        <f>'Datos Actividad'!$S148*'FE Sectorial'!$H151*'FE Sectorial'!J151/1000/1000</f>
        <v>0</v>
      </c>
      <c r="J152" s="134">
        <f>'Datos Actividad'!$S148*'FE Sectorial'!$H151*'FE Sectorial'!K151/1000/1000</f>
        <v>0</v>
      </c>
      <c r="K152" s="134">
        <f>'Datos Actividad'!$S148*'FE Sectorial'!$H151*'FE Sectorial'!L151/1000/1000</f>
        <v>0</v>
      </c>
      <c r="L152" s="134">
        <f>'Datos Actividad'!$S148*'FE Sectorial'!$H151*'FE Sectorial'!M151/1000/1000</f>
        <v>0</v>
      </c>
      <c r="M152" s="134">
        <f>'Datos Actividad'!$S148*'FE Sectorial'!$H151*'FE Sectorial'!N151/1000/1000</f>
        <v>0</v>
      </c>
      <c r="N152" s="134">
        <f>'Datos Actividad'!$S148*'FE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4965635.3531221356</v>
      </c>
      <c r="I153" s="124">
        <f t="shared" ref="I153:N153" si="41">I154+I168</f>
        <v>304538.80230220238</v>
      </c>
      <c r="J153" s="124">
        <f t="shared" si="41"/>
        <v>39.530201350513067</v>
      </c>
      <c r="K153" s="124">
        <f t="shared" si="41"/>
        <v>1576.3416092441521</v>
      </c>
      <c r="L153" s="124">
        <f t="shared" si="41"/>
        <v>2522.1368000000002</v>
      </c>
      <c r="M153" s="124">
        <f t="shared" si="41"/>
        <v>124460.42734531355</v>
      </c>
      <c r="N153" s="124">
        <f t="shared" si="41"/>
        <v>25221.368000000002</v>
      </c>
      <c r="O153" s="124">
        <f>IF(D153&lt;400,H153+I153*'Factores generales'!$M$41+J153*'Factores generales'!$N$41,I153*'Factores generales'!$M$41+J153*'Factores generales'!$N$41)</f>
        <v>11373204.563887045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4965635.3531221356</v>
      </c>
      <c r="I168" s="129">
        <f t="shared" ref="I168:O168" si="44">I169+I188+I204</f>
        <v>301827.2109218433</v>
      </c>
      <c r="J168" s="129">
        <f t="shared" si="44"/>
        <v>39.530201350513067</v>
      </c>
      <c r="K168" s="129">
        <f t="shared" si="44"/>
        <v>1576.3416092441521</v>
      </c>
      <c r="L168" s="129">
        <f t="shared" si="44"/>
        <v>2522.1368000000002</v>
      </c>
      <c r="M168" s="129">
        <f t="shared" si="44"/>
        <v>124460.42734531355</v>
      </c>
      <c r="N168" s="129">
        <f t="shared" si="44"/>
        <v>25221.368000000002</v>
      </c>
      <c r="O168" s="129">
        <f t="shared" si="44"/>
        <v>11316261.144899502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30074.326131705719</v>
      </c>
      <c r="I169" s="134">
        <f t="shared" ref="I169:O169" si="45">SUM(I170:I187)</f>
        <v>16480.657489510679</v>
      </c>
      <c r="J169" s="134">
        <f t="shared" si="45"/>
        <v>0.20457492319441306</v>
      </c>
      <c r="K169" s="134">
        <f t="shared" si="45"/>
        <v>1576.3416092441521</v>
      </c>
      <c r="L169" s="134">
        <f t="shared" si="45"/>
        <v>2522.1368000000002</v>
      </c>
      <c r="M169" s="134">
        <f t="shared" si="45"/>
        <v>76366.387733337979</v>
      </c>
      <c r="N169" s="134">
        <f t="shared" si="45"/>
        <v>25221.368000000002</v>
      </c>
      <c r="O169" s="134">
        <f t="shared" si="45"/>
        <v>376231.5516376202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Actividad'!$S167*'FE Sectorial'!I170*1000</f>
        <v>854.73644521506151</v>
      </c>
      <c r="I171" s="92">
        <f>'Datos Actividad'!$S167*'FE Sectorial'!J170*1000</f>
        <v>18.149753125438952</v>
      </c>
      <c r="J171" s="92">
        <f>'Datos Actividad'!$S167*'FE Sectorial'!K170*1000</f>
        <v>6.2904053923415783E-3</v>
      </c>
      <c r="K171" s="92">
        <f>'Datos Actividad'!$S167*'FE Sectorial'!L170*1000</f>
        <v>0</v>
      </c>
      <c r="L171" s="92">
        <f>'Datos Actividad'!$S167*'FE Sectorial'!M170*1000</f>
        <v>0</v>
      </c>
      <c r="M171" s="92">
        <f>'Datos Actividad'!$S167*'FE Sectorial'!N170*1000</f>
        <v>2.7966856088546805</v>
      </c>
      <c r="N171" s="92">
        <f>'Datos Actividad'!$S167*'FE Sectorial'!O170*1000</f>
        <v>0</v>
      </c>
      <c r="O171" s="87">
        <f>IF(D171&lt;400,H171+I171*'Factores generales'!$M$41+J171*'Factores generales'!$N$41,I171*'Factores generales'!$M$41+J171*'Factores generales'!$N$41)</f>
        <v>1237.8312865209052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Actividad'!$S168*'FE Sectorial'!I171*1000</f>
        <v>2378.3970649462581</v>
      </c>
      <c r="I172" s="92">
        <f>'Datos Actividad'!$S168*'FE Sectorial'!J171*1000</f>
        <v>50.503660870786653</v>
      </c>
      <c r="J172" s="92">
        <f>'Datos Actividad'!$S168*'FE Sectorial'!K171*1000</f>
        <v>1.7503736743907001E-2</v>
      </c>
      <c r="K172" s="92">
        <f>'Datos Actividad'!$S168*'FE Sectorial'!L171*1000</f>
        <v>0</v>
      </c>
      <c r="L172" s="92">
        <f>'Datos Actividad'!$S168*'FE Sectorial'!M171*1000</f>
        <v>0</v>
      </c>
      <c r="M172" s="92">
        <f>'Datos Actividad'!$S168*'FE Sectorial'!N171*1000</f>
        <v>7.7820816942043276</v>
      </c>
      <c r="N172" s="92">
        <f>'Datos Actividad'!$S168*'FE Sectorial'!O171*1000</f>
        <v>0</v>
      </c>
      <c r="O172" s="87">
        <f>IF(D172&lt;400,H172+I172*'Factores generales'!$M$41+J172*'Factores generales'!$N$41,I172*'Factores generales'!$M$41+J172*'Factores generales'!$N$41)</f>
        <v>3444.4001016233892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Actividad'!$S169*'FE Sectorial'!I172*1000</f>
        <v>24564.382186398074</v>
      </c>
      <c r="I173" s="92">
        <f>'Datos Actividad'!$S169*'FE Sectorial'!J172*1000</f>
        <v>521.60812243109331</v>
      </c>
      <c r="J173" s="92">
        <f>'Datos Actividad'!$S169*'FE Sectorial'!K172*1000</f>
        <v>0.18078078105816447</v>
      </c>
      <c r="K173" s="92">
        <f>'Datos Actividad'!$S169*'FE Sectorial'!L172*1000</f>
        <v>0</v>
      </c>
      <c r="L173" s="92">
        <f>'Datos Actividad'!$S169*'FE Sectorial'!M172*1000</f>
        <v>0</v>
      </c>
      <c r="M173" s="92">
        <f>'Datos Actividad'!$S169*'FE Sectorial'!N172*1000</f>
        <v>80.374312497954065</v>
      </c>
      <c r="N173" s="92">
        <f>'Datos Actividad'!$S169*'FE Sectorial'!O172*1000</f>
        <v>0</v>
      </c>
      <c r="O173" s="87">
        <f>IF(D173&lt;400,H173+I173*'Factores generales'!$M$41+J173*'Factores generales'!$N$41,I173*'Factores generales'!$M$41+J173*'Factores generales'!$N$41)</f>
        <v>35574.194799579062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Actividad'!$S171*'FE Sectorial'!I174</f>
        <v>1068.8908794706497</v>
      </c>
      <c r="I175" s="92">
        <f>'Datos Actividad'!$S171*'FE Sectorial'!J174</f>
        <v>14744.296499999999</v>
      </c>
      <c r="J175" s="92">
        <f>'Datos Actividad'!$S171*'FE Sectorial'!K174</f>
        <v>0</v>
      </c>
      <c r="K175" s="92">
        <f>'Datos Actividad'!$S171*'FE Sectorial'!L174</f>
        <v>0</v>
      </c>
      <c r="L175" s="92">
        <f>'Datos Actividad'!$S171*'FE Sectorial'!M174</f>
        <v>0</v>
      </c>
      <c r="M175" s="92">
        <f>'Datos Actividad'!$S171*'FE Sectorial'!N174</f>
        <v>18058.001520651957</v>
      </c>
      <c r="N175" s="92">
        <f>'Datos Actividad'!$S171*'FE Sectorial'!O174</f>
        <v>0</v>
      </c>
      <c r="O175" s="87">
        <f>IF(D175&lt;400,H175+I175*'Factores generales'!$M$41+J175*'Factores generales'!$N$41,I175*'Factores generales'!$M$41+J175*'Factores generales'!$N$41)</f>
        <v>310699.11737947061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Actividad'!$S173*'FE Sectorial'!I176</f>
        <v>0</v>
      </c>
      <c r="I177" s="92">
        <f>'Datos Actividad'!$S173*'FE Sectorial'!J176</f>
        <v>582.96538385403289</v>
      </c>
      <c r="J177" s="92">
        <f>'Datos Actividad'!$S173*'FE Sectorial'!K176</f>
        <v>0</v>
      </c>
      <c r="K177" s="92">
        <f>'Datos Actividad'!$S173*'FE Sectorial'!L176</f>
        <v>0</v>
      </c>
      <c r="L177" s="92">
        <f>'Datos Actividad'!$S173*'FE Sectorial'!M176</f>
        <v>0</v>
      </c>
      <c r="M177" s="92">
        <f>'Datos Actividad'!$S173*'FE Sectorial'!N176</f>
        <v>0</v>
      </c>
      <c r="N177" s="92">
        <f>'Datos Actividad'!$S173*'FE Sectorial'!O176</f>
        <v>0</v>
      </c>
      <c r="O177" s="87">
        <f>IF(D177&lt;400,H177+I177*'Factores generales'!$M$41+J177*'Factores generales'!$N$41,I177*'Factores generales'!$M$41+J177*'Factores generales'!$N$41)</f>
        <v>12242.273060934691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Actividad'!$S174*'FE Sectorial'!I177</f>
        <v>13.840016888399242</v>
      </c>
      <c r="I178" s="92">
        <f>'Datos Actividad'!$S174*'FE Sectorial'!J177</f>
        <v>152.52263509664471</v>
      </c>
      <c r="J178" s="92">
        <f>'Datos Actividad'!$S174*'FE Sectorial'!K177</f>
        <v>0</v>
      </c>
      <c r="K178" s="92">
        <f>'Datos Actividad'!$S174*'FE Sectorial'!L177</f>
        <v>0</v>
      </c>
      <c r="L178" s="92">
        <f>'Datos Actividad'!$S174*'FE Sectorial'!M177</f>
        <v>0</v>
      </c>
      <c r="M178" s="92">
        <f>'Datos Actividad'!$S174*'FE Sectorial'!N177</f>
        <v>1525.2263509664472</v>
      </c>
      <c r="N178" s="92">
        <f>'Datos Actividad'!$S174*'FE Sectorial'!O177</f>
        <v>0</v>
      </c>
      <c r="O178" s="87">
        <f>IF(D178&lt;400,H178+I178*'Factores generales'!$M$41+J178*'Factores generales'!$N$41,I178*'Factores generales'!$M$41+J178*'Factores generales'!$N$41)</f>
        <v>3216.815353917938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Actividad'!$S177*'FE Sectorial'!I180</f>
        <v>0</v>
      </c>
      <c r="I181" s="92">
        <f>'Datos Actividad'!$S177*'FE Sectorial'!J180</f>
        <v>325.50469285251336</v>
      </c>
      <c r="J181" s="92">
        <f>'Datos Actividad'!$S177*'FE Sectorial'!K180</f>
        <v>0</v>
      </c>
      <c r="K181" s="92">
        <f>'Datos Actividad'!$S177*'FE Sectorial'!L180</f>
        <v>1576.3355000000001</v>
      </c>
      <c r="L181" s="92">
        <f>'Datos Actividad'!$S177*'FE Sectorial'!M180</f>
        <v>2522.1368000000002</v>
      </c>
      <c r="M181" s="92">
        <f>'Datos Actividad'!$S177*'FE Sectorial'!N180</f>
        <v>40984.722999999998</v>
      </c>
      <c r="N181" s="92">
        <f>'Datos Actividad'!$S177*'FE Sectorial'!O180</f>
        <v>25221.368000000002</v>
      </c>
      <c r="O181" s="87">
        <f>IF(D181&lt;400,H181+I181*'Factores generales'!$M$41+J181*'Factores generales'!$N$41,I181*'Factores generales'!$M$41+J181*'Factores generales'!$N$41)</f>
        <v>6835.5985499027802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Actividad'!$S179*'FE Sectorial'!I182</f>
        <v>0</v>
      </c>
      <c r="I183" s="92">
        <f>'Datos Actividad'!$S179*'FE Sectorial'!J182</f>
        <v>85.106741280169814</v>
      </c>
      <c r="J183" s="92">
        <f>'Datos Actividad'!$S179*'FE Sectorial'!K182</f>
        <v>0</v>
      </c>
      <c r="K183" s="92">
        <f>'Datos Actividad'!$S179*'FE Sectorial'!L182</f>
        <v>0</v>
      </c>
      <c r="L183" s="92">
        <f>'Datos Actividad'!$S179*'FE Sectorial'!M182</f>
        <v>0</v>
      </c>
      <c r="M183" s="92">
        <f>'Datos Actividad'!$S179*'FE Sectorial'!N182</f>
        <v>0</v>
      </c>
      <c r="N183" s="92">
        <f>'Datos Actividad'!$S179*'FE Sectorial'!O182</f>
        <v>0</v>
      </c>
      <c r="O183" s="87">
        <f>IF(D183&lt;400,H183+I183*'Factores generales'!$M$41+J183*'Factores generales'!$N$41,I183*'Factores generales'!$M$41+J183*'Factores generales'!$N$41)</f>
        <v>1787.2415668835661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Actividad'!$S181*'FE Sectorial'!I184</f>
        <v>0</v>
      </c>
      <c r="I185" s="92">
        <f>'Datos Actividad'!$S181*'FE Sectorial'!J184</f>
        <v>0</v>
      </c>
      <c r="J185" s="92">
        <f>'Datos Actividad'!$S181*'FE Sectorial'!K184</f>
        <v>0</v>
      </c>
      <c r="K185" s="92">
        <f>'Datos Actividad'!$S181*'FE Sectorial'!L184</f>
        <v>0</v>
      </c>
      <c r="L185" s="92">
        <f>'Datos Actividad'!$S181*'FE Sectorial'!M184</f>
        <v>0</v>
      </c>
      <c r="M185" s="92">
        <f>'Datos Actividad'!$S181*'FE Sectorial'!N184</f>
        <v>15707.483781918567</v>
      </c>
      <c r="N185" s="92">
        <f>'Datos Actividad'!$S181*'FE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Actividad'!$S182*'FE Sectorial'!I185</f>
        <v>1194.0795387872752</v>
      </c>
      <c r="I186" s="92">
        <f>'Datos Actividad'!$S182*'FE Sectorial'!J185</f>
        <v>0</v>
      </c>
      <c r="J186" s="92">
        <f>'Datos Actividad'!$S182*'FE Sectorial'!K185</f>
        <v>0</v>
      </c>
      <c r="K186" s="92">
        <f>'Datos Actividad'!$S182*'FE Sectorial'!L185</f>
        <v>6.1092441519348967E-3</v>
      </c>
      <c r="L186" s="92">
        <f>'Datos Actividad'!$S182*'FE Sectorial'!M185</f>
        <v>0</v>
      </c>
      <c r="M186" s="92">
        <f>'Datos Actividad'!$S182*'FE Sectorial'!N185</f>
        <v>0</v>
      </c>
      <c r="N186" s="92">
        <f>'Datos Actividad'!$S182*'FE Sectorial'!O185</f>
        <v>0</v>
      </c>
      <c r="O186" s="87">
        <f>IF(D186&lt;400,H186+I186*'Factores generales'!$M$41+J186*'Factores generales'!$N$41,I186*'Factores generales'!$M$41+J186*'Factores generales'!$N$41)</f>
        <v>1194.0795387872752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4636.1688921148252</v>
      </c>
      <c r="I188" s="134">
        <f t="shared" ref="I188:O188" si="46">SUM(I189:I203)</f>
        <v>237040.95988982797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21818.551079038836</v>
      </c>
      <c r="N188" s="134">
        <f t="shared" si="46"/>
        <v>0</v>
      </c>
      <c r="O188" s="134">
        <f t="shared" si="46"/>
        <v>4982496.3265785016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Actividad'!$S187*'FE Sectorial'!I190</f>
        <v>1939.2221052094449</v>
      </c>
      <c r="I191" s="92">
        <f>'Datos Actividad'!$S187*'FE Sectorial'!J190</f>
        <v>116660.73325863789</v>
      </c>
      <c r="J191" s="92">
        <f>'Datos Actividad'!$S187*'FE Sectorial'!K190</f>
        <v>0</v>
      </c>
      <c r="K191" s="92">
        <f>'Datos Actividad'!$S187*'FE Sectorial'!L190</f>
        <v>0</v>
      </c>
      <c r="L191" s="92">
        <f>'Datos Actividad'!$S187*'FE Sectorial'!M190</f>
        <v>0</v>
      </c>
      <c r="M191" s="92">
        <f>'Datos Actividad'!$S187*'FE Sectorial'!N190</f>
        <v>12765.522688519046</v>
      </c>
      <c r="N191" s="92">
        <f>'Datos Actividad'!$S187*'FE Sectorial'!O190</f>
        <v>0</v>
      </c>
      <c r="O191" s="87">
        <f>IF(D191&lt;400,H191+I191*'Factores generales'!$M$41+J191*'Factores generales'!$N$41,I191*'Factores generales'!$M$41+J191*'Factores generales'!$N$41)</f>
        <v>2451814.6205366049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Actividad'!$S189*'FE Sectorial'!I192</f>
        <v>708.10379402391288</v>
      </c>
      <c r="I193" s="92">
        <f>'Datos Actividad'!$S189*'FE Sectorial'!J192</f>
        <v>8851.2974252989134</v>
      </c>
      <c r="J193" s="92">
        <f>'Datos Actividad'!$S189*'FE Sectorial'!K192</f>
        <v>0</v>
      </c>
      <c r="K193" s="92">
        <f>'Datos Actividad'!$S189*'FE Sectorial'!L192</f>
        <v>0</v>
      </c>
      <c r="L193" s="92">
        <f>'Datos Actividad'!$S189*'FE Sectorial'!M192</f>
        <v>0</v>
      </c>
      <c r="M193" s="92">
        <f>'Datos Actividad'!$S189*'FE Sectorial'!N192</f>
        <v>8176.4783218780294</v>
      </c>
      <c r="N193" s="92">
        <f>'Datos Actividad'!$S189*'FE Sectorial'!O192</f>
        <v>0</v>
      </c>
      <c r="O193" s="87">
        <f>IF(D193&lt;400,H193+I193*'Factores generales'!$M$41+J193*'Factores generales'!$N$41,I193*'Factores generales'!$M$41+J193*'Factores generales'!$N$41)</f>
        <v>186585.34972530109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Actividad'!$S192*'FE Sectorial'!I195</f>
        <v>43.548046367438943</v>
      </c>
      <c r="I196" s="92">
        <f>'Datos Actividad'!$S192*'FE Sectorial'!J195</f>
        <v>13549.646126498435</v>
      </c>
      <c r="J196" s="92">
        <f>'Datos Actividad'!$S192*'FE Sectorial'!K195</f>
        <v>0</v>
      </c>
      <c r="K196" s="92">
        <f>'Datos Actividad'!$S192*'FE Sectorial'!L195</f>
        <v>0</v>
      </c>
      <c r="L196" s="92">
        <f>'Datos Actividad'!$S192*'FE Sectorial'!M195</f>
        <v>0</v>
      </c>
      <c r="M196" s="92">
        <f>'Datos Actividad'!$S192*'FE Sectorial'!N195</f>
        <v>324.0305886417637</v>
      </c>
      <c r="N196" s="92">
        <f>'Datos Actividad'!$S192*'FE Sectorial'!O195</f>
        <v>0</v>
      </c>
      <c r="O196" s="87">
        <f>IF(D196&lt;400,H196+I196*'Factores generales'!$M$41+J196*'Factores generales'!$N$41,I196*'Factores generales'!$M$41+J196*'Factores generales'!$N$41)</f>
        <v>284586.11670283455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Actividad'!$S194*'FE Sectorial'!I197</f>
        <v>1945.2949465140289</v>
      </c>
      <c r="I198" s="92">
        <f>'Datos Actividad'!$S194*'FE Sectorial'!J197</f>
        <v>38177.079260880724</v>
      </c>
      <c r="J198" s="92">
        <f>'Datos Actividad'!$S194*'FE Sectorial'!K197</f>
        <v>0</v>
      </c>
      <c r="K198" s="92">
        <f>'Datos Actividad'!$S194*'FE Sectorial'!L197</f>
        <v>0</v>
      </c>
      <c r="L198" s="92">
        <f>'Datos Actividad'!$S194*'FE Sectorial'!M197</f>
        <v>0</v>
      </c>
      <c r="M198" s="92">
        <f>'Datos Actividad'!$S194*'FE Sectorial'!N197</f>
        <v>552.51948000000004</v>
      </c>
      <c r="N198" s="92">
        <f>'Datos Actividad'!$S194*'FE Sectorial'!O197</f>
        <v>0</v>
      </c>
      <c r="O198" s="87">
        <f>IF(D198&lt;400,H198+I198*'Factores generales'!$M$41+J198*'Factores generales'!$N$41,I198*'Factores generales'!$M$41+J198*'Factores generales'!$N$41)</f>
        <v>803663.95942500932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Actividad'!$S197*'FE Sectorial'!I200</f>
        <v>0</v>
      </c>
      <c r="I201" s="92">
        <f>'Datos Actividad'!$S197*'FE Sectorial'!J200</f>
        <v>48792.406420799998</v>
      </c>
      <c r="J201" s="92">
        <f>'Datos Actividad'!$S197*'FE Sectorial'!K200</f>
        <v>0</v>
      </c>
      <c r="K201" s="92">
        <f>'Datos Actividad'!$S197*'FE Sectorial'!L200</f>
        <v>0</v>
      </c>
      <c r="L201" s="92">
        <f>'Datos Actividad'!$S197*'FE Sectorial'!M200</f>
        <v>0</v>
      </c>
      <c r="M201" s="92">
        <f>'Datos Actividad'!$S197*'FE Sectorial'!N200</f>
        <v>0</v>
      </c>
      <c r="N201" s="92">
        <f>'Datos Actividad'!$S197*'FE Sectorial'!O200</f>
        <v>0</v>
      </c>
      <c r="O201" s="87">
        <f>IF(D201&lt;400,H201+I201*'Factores generales'!$M$41+J201*'Factores generales'!$N$41,I201*'Factores generales'!$M$41+J201*'Factores generales'!$N$41)</f>
        <v>1024640.5348368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Actividad'!$S199*'FE Sectorial'!I202</f>
        <v>0</v>
      </c>
      <c r="I203" s="92">
        <f>'Datos Actividad'!$S199*'FE Sectorial'!J202</f>
        <v>11009.797397712</v>
      </c>
      <c r="J203" s="92">
        <f>'Datos Actividad'!$S199*'FE Sectorial'!K202</f>
        <v>0</v>
      </c>
      <c r="K203" s="92">
        <f>'Datos Actividad'!$S199*'FE Sectorial'!L202</f>
        <v>0</v>
      </c>
      <c r="L203" s="92">
        <f>'Datos Actividad'!$S199*'FE Sectorial'!M202</f>
        <v>0</v>
      </c>
      <c r="M203" s="92">
        <f>'Datos Actividad'!$S199*'FE Sectorial'!N202</f>
        <v>0</v>
      </c>
      <c r="N203" s="92">
        <f>'Datos Actividad'!$S199*'FE Sectorial'!O202</f>
        <v>0</v>
      </c>
      <c r="O203" s="87">
        <f>IF(D203&lt;400,H203+I203*'Factores generales'!$M$41+J203*'Factores generales'!$N$41,I203*'Factores generales'!$M$41+J203*'Factores generales'!$N$41)</f>
        <v>231205.74535195201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4930924.8580983151</v>
      </c>
      <c r="I204" s="134">
        <f t="shared" ref="I204:O204" si="47">SUM(I205:I221)</f>
        <v>48305.593542504641</v>
      </c>
      <c r="J204" s="134">
        <f t="shared" si="47"/>
        <v>39.325626427318653</v>
      </c>
      <c r="K204" s="134">
        <f t="shared" si="47"/>
        <v>0</v>
      </c>
      <c r="L204" s="134">
        <f t="shared" si="47"/>
        <v>0</v>
      </c>
      <c r="M204" s="134">
        <f t="shared" si="47"/>
        <v>26275.488532936743</v>
      </c>
      <c r="N204" s="134">
        <f t="shared" si="47"/>
        <v>0</v>
      </c>
      <c r="O204" s="134">
        <f t="shared" si="47"/>
        <v>5957533.2666833801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Actividad'!$S203*'FE Sectorial'!I206</f>
        <v>5461.8061207981345</v>
      </c>
      <c r="I207" s="92">
        <f>'Datos Actividad'!$S203*'FE Sectorial'!J206</f>
        <v>41494.128402665658</v>
      </c>
      <c r="J207" s="92">
        <f>'Datos Actividad'!$S203*'FE Sectorial'!K206</f>
        <v>0</v>
      </c>
      <c r="K207" s="92">
        <f>'Datos Actividad'!$S203*'FE Sectorial'!L206</f>
        <v>0</v>
      </c>
      <c r="L207" s="92">
        <f>'Datos Actividad'!$S203*'FE Sectorial'!M206</f>
        <v>0</v>
      </c>
      <c r="M207" s="92">
        <f>'Datos Actividad'!$S203*'FE Sectorial'!N206</f>
        <v>24755.005925471978</v>
      </c>
      <c r="N207" s="92">
        <f>'Datos Actividad'!$S203*'FE Sectorial'!O206</f>
        <v>0</v>
      </c>
      <c r="O207" s="87">
        <f>IF(D207&lt;400,H207+I207*'Factores generales'!$M$41+J207*'Factores generales'!$N$41,I207*'Factores generales'!$M$41+J207*'Factores generales'!$N$41)</f>
        <v>876838.5025767769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Actividad'!$S205*'FE Sectorial'!I208</f>
        <v>2354988.2406563647</v>
      </c>
      <c r="I209" s="92">
        <f>'Datos Actividad'!$S205*'FE Sectorial'!J208</f>
        <v>1432.8880602472657</v>
      </c>
      <c r="J209" s="92">
        <f>'Datos Actividad'!$S205*'FE Sectorial'!K208</f>
        <v>36.883669691258369</v>
      </c>
      <c r="K209" s="92">
        <f>'Datos Actividad'!$S205*'FE Sectorial'!L208</f>
        <v>0</v>
      </c>
      <c r="L209" s="92">
        <f>'Datos Actividad'!$S205*'FE Sectorial'!M208</f>
        <v>0</v>
      </c>
      <c r="M209" s="92">
        <f>'Datos Actividad'!$S205*'FE Sectorial'!N208</f>
        <v>1212.8621616356108</v>
      </c>
      <c r="N209" s="92">
        <f>'Datos Actividad'!$S205*'FE Sectorial'!O208</f>
        <v>0</v>
      </c>
      <c r="O209" s="87">
        <f>IF(D209&lt;400,H209+I209*'Factores generales'!$M$41+J209*'Factores generales'!$N$41,I209*'Factores generales'!$M$41+J209*'Factores generales'!$N$41)</f>
        <v>2396512.8275258471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Actividad'!$S209*'FE Sectorial'!I212</f>
        <v>2381327.2458549822</v>
      </c>
      <c r="I213" s="92">
        <f>'Datos Actividad'!$S209*'FE Sectorial'!J212</f>
        <v>0</v>
      </c>
      <c r="J213" s="92">
        <f>'Datos Actividad'!$S209*'FE Sectorial'!K212</f>
        <v>0</v>
      </c>
      <c r="K213" s="92">
        <f>'Datos Actividad'!$S209*'FE Sectorial'!L212</f>
        <v>0</v>
      </c>
      <c r="L213" s="92">
        <f>'Datos Actividad'!$S209*'FE Sectorial'!M212</f>
        <v>0</v>
      </c>
      <c r="M213" s="92">
        <f>'Datos Actividad'!$S209*'FE Sectorial'!N212</f>
        <v>0</v>
      </c>
      <c r="N213" s="92">
        <f>'Datos Actividad'!$S209*'FE Sectorial'!O212</f>
        <v>0</v>
      </c>
      <c r="O213" s="87">
        <f>IF(D213&lt;400,H213+I213*'Factores generales'!$M$41+J213*'Factores generales'!$N$41,I213*'Factores generales'!$M$41+J213*'Factores generales'!$N$41)</f>
        <v>2381327.2458549822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Actividad'!$S211*'FE Sectorial'!I214</f>
        <v>138.49927849286669</v>
      </c>
      <c r="I215" s="92">
        <f>'Datos Actividad'!$S211*'FE Sectorial'!J214</f>
        <v>5253.484219994989</v>
      </c>
      <c r="J215" s="92">
        <f>'Datos Actividad'!$S211*'FE Sectorial'!K214</f>
        <v>0</v>
      </c>
      <c r="K215" s="92">
        <f>'Datos Actividad'!$S211*'FE Sectorial'!L214</f>
        <v>0</v>
      </c>
      <c r="L215" s="92">
        <f>'Datos Actividad'!$S211*'FE Sectorial'!M214</f>
        <v>0</v>
      </c>
      <c r="M215" s="92">
        <f>'Datos Actividad'!$S211*'FE Sectorial'!N214</f>
        <v>207.10018765308166</v>
      </c>
      <c r="N215" s="92">
        <f>'Datos Actividad'!$S211*'FE Sectorial'!O214</f>
        <v>0</v>
      </c>
      <c r="O215" s="87">
        <f>IF(D215&lt;400,H215+I215*'Factores generales'!$M$41+J215*'Factores generales'!$N$41,I215*'Factores generales'!$M$41+J215*'Factores generales'!$N$41)</f>
        <v>110461.66789838763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Actividad'!$S214*'FE Sectorial'!I217</f>
        <v>53527.615468816533</v>
      </c>
      <c r="I218" s="92">
        <f>'Datos Actividad'!$S214*'FE Sectorial'!J217</f>
        <v>33.677052875366854</v>
      </c>
      <c r="J218" s="92">
        <f>'Datos Actividad'!$S214*'FE Sectorial'!K217</f>
        <v>0.95331390784399916</v>
      </c>
      <c r="K218" s="92">
        <f>'Datos Actividad'!$S214*'FE Sectorial'!L217</f>
        <v>0</v>
      </c>
      <c r="L218" s="92">
        <f>'Datos Actividad'!$S214*'FE Sectorial'!M217</f>
        <v>0</v>
      </c>
      <c r="M218" s="92">
        <f>'Datos Actividad'!$S214*'FE Sectorial'!N217</f>
        <v>28.043524213197891</v>
      </c>
      <c r="N218" s="92">
        <f>'Datos Actividad'!$S214*'FE Sectorial'!O217</f>
        <v>0</v>
      </c>
      <c r="O218" s="87">
        <f>IF(D218&lt;400,H218+I218*'Factores generales'!$M$41+J218*'Factores generales'!$N$41,I218*'Factores generales'!$M$41+J218*'Factores generales'!$N$41)</f>
        <v>54530.360890630873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Actividad'!$S216*'FE Sectorial'!I219</f>
        <v>135481.45071886049</v>
      </c>
      <c r="I220" s="92">
        <f>'Datos Actividad'!$S216*'FE Sectorial'!J219</f>
        <v>91.415806721363396</v>
      </c>
      <c r="J220" s="92">
        <f>'Datos Actividad'!$S216*'FE Sectorial'!K219</f>
        <v>1.4886428282162834</v>
      </c>
      <c r="K220" s="92">
        <f>'Datos Actividad'!$S216*'FE Sectorial'!L219</f>
        <v>0</v>
      </c>
      <c r="L220" s="92">
        <f>'Datos Actividad'!$S216*'FE Sectorial'!M219</f>
        <v>0</v>
      </c>
      <c r="M220" s="92">
        <f>'Datos Actividad'!$S216*'FE Sectorial'!N219</f>
        <v>72.47673396287523</v>
      </c>
      <c r="N220" s="92">
        <f>'Datos Actividad'!$S216*'FE Sectorial'!O219</f>
        <v>0</v>
      </c>
      <c r="O220" s="87">
        <f>IF(D220&lt;400,H220+I220*'Factores generales'!$M$41+J220*'Factores generales'!$N$41,I220*'Factores generales'!$M$41+J220*'Factores generales'!$N$41)</f>
        <v>137862.66193675617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10286781.29164839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4493679.4988502441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2808222.2676710142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1685457.2311792299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9" style="1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 t="s">
        <v>267</v>
      </c>
      <c r="C1" s="144"/>
      <c r="D1" s="145"/>
      <c r="E1" s="144"/>
      <c r="F1" s="144"/>
      <c r="G1" s="144"/>
      <c r="H1" s="146">
        <f>H5/116346000-1</f>
        <v>5.7373569931850055E-2</v>
      </c>
      <c r="I1" s="146">
        <f>+I5/588410-1</f>
        <v>-0.46936484177152371</v>
      </c>
      <c r="J1" s="146">
        <f>+J5/2890-1</f>
        <v>0.30103134608044146</v>
      </c>
      <c r="K1" s="146">
        <f>+K5/686680-1</f>
        <v>4.8913479031984508E-2</v>
      </c>
      <c r="L1" s="146">
        <f>+L5/3775770-1</f>
        <v>-0.34349779147817139</v>
      </c>
      <c r="M1" s="146">
        <f>+M5/413970-1</f>
        <v>0.24609779721619329</v>
      </c>
      <c r="N1" s="146">
        <f>+N5/88270-1</f>
        <v>-0.16535438448546946</v>
      </c>
      <c r="O1" s="146">
        <f>+O5/129598030-1</f>
        <v>9.4080894893777689E-3</v>
      </c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123021185.36729103</v>
      </c>
      <c r="I5" s="138">
        <f t="shared" si="0"/>
        <v>312231.03345321771</v>
      </c>
      <c r="J5" s="138">
        <f t="shared" si="0"/>
        <v>3759.9805901724758</v>
      </c>
      <c r="K5" s="138">
        <f t="shared" si="0"/>
        <v>720267.90778168314</v>
      </c>
      <c r="L5" s="138">
        <f t="shared" si="0"/>
        <v>2478801.3438704647</v>
      </c>
      <c r="M5" s="138">
        <f t="shared" si="0"/>
        <v>515847.10511358758</v>
      </c>
      <c r="N5" s="138">
        <f t="shared" si="0"/>
        <v>73674.168481467612</v>
      </c>
      <c r="O5" s="138">
        <f t="shared" si="0"/>
        <v>130817299.86388707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118182989.96856295</v>
      </c>
      <c r="I6" s="124">
        <f t="shared" si="1"/>
        <v>16152.093376782354</v>
      </c>
      <c r="J6" s="124">
        <f t="shared" si="1"/>
        <v>3721.0186120261678</v>
      </c>
      <c r="K6" s="124">
        <f t="shared" si="1"/>
        <v>718752.31175802788</v>
      </c>
      <c r="L6" s="124">
        <f t="shared" si="1"/>
        <v>2476376.3993104645</v>
      </c>
      <c r="M6" s="124">
        <f t="shared" si="1"/>
        <v>394269.39259842102</v>
      </c>
      <c r="N6" s="124">
        <f t="shared" si="1"/>
        <v>49424.722881467605</v>
      </c>
      <c r="O6" s="124">
        <f t="shared" si="1"/>
        <v>119749368.51032849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30032119.793850034</v>
      </c>
      <c r="I7" s="129">
        <f t="shared" si="2"/>
        <v>619.69687385727434</v>
      </c>
      <c r="J7" s="129">
        <f t="shared" si="2"/>
        <v>95.932556838685187</v>
      </c>
      <c r="K7" s="129">
        <f t="shared" si="2"/>
        <v>81081.999763900647</v>
      </c>
      <c r="L7" s="129">
        <f t="shared" si="2"/>
        <v>9919.965726175953</v>
      </c>
      <c r="M7" s="129">
        <f t="shared" si="2"/>
        <v>2548.7128690709196</v>
      </c>
      <c r="N7" s="129">
        <f t="shared" si="2"/>
        <v>21164.943478821428</v>
      </c>
      <c r="O7" s="129">
        <f t="shared" si="2"/>
        <v>30074872.520821031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18748662.501401711</v>
      </c>
      <c r="I8" s="134">
        <f t="shared" si="3"/>
        <v>360.91017981600004</v>
      </c>
      <c r="J8" s="134">
        <f t="shared" si="3"/>
        <v>56.412534261600008</v>
      </c>
      <c r="K8" s="134">
        <f t="shared" si="3"/>
        <v>50832.902122400003</v>
      </c>
      <c r="L8" s="134">
        <f t="shared" si="3"/>
        <v>6344.0299243200006</v>
      </c>
      <c r="M8" s="134">
        <f t="shared" si="3"/>
        <v>1610.2900830800002</v>
      </c>
      <c r="N8" s="134">
        <f t="shared" si="3"/>
        <v>13038.3063</v>
      </c>
      <c r="O8" s="134">
        <f t="shared" si="3"/>
        <v>18773729.500798944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18748662.501401711</v>
      </c>
      <c r="I9" s="93">
        <f t="shared" ref="I9:O9" si="4">I10+I11+I12+I13+I14</f>
        <v>360.91017981600004</v>
      </c>
      <c r="J9" s="93">
        <f t="shared" si="4"/>
        <v>56.412534261600008</v>
      </c>
      <c r="K9" s="93">
        <f t="shared" si="4"/>
        <v>50832.902122400003</v>
      </c>
      <c r="L9" s="93">
        <f t="shared" si="4"/>
        <v>6344.0299243200006</v>
      </c>
      <c r="M9" s="93">
        <f t="shared" si="4"/>
        <v>1610.2900830800002</v>
      </c>
      <c r="N9" s="93">
        <f t="shared" si="4"/>
        <v>13038.3063</v>
      </c>
      <c r="O9" s="93">
        <f t="shared" si="4"/>
        <v>18773729.500798944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Actividad'!$T6*'FE Sectorial'!$H9*'FE Sectorial'!I9*'FE Sectorial'!$P9/1000</f>
        <v>959772.27099599992</v>
      </c>
      <c r="I10" s="92">
        <f>'Datos Actividad'!$T6*'FE Sectorial'!$H9*'FE Sectorial'!J9/1000/1000</f>
        <v>10.352637000000001</v>
      </c>
      <c r="J10" s="92">
        <f>'Datos Actividad'!$T6*'FE Sectorial'!$H9*'FE Sectorial'!K9/1000/1000</f>
        <v>15.528955500000002</v>
      </c>
      <c r="K10" s="92">
        <f>'Datos Actividad'!$T6*'FE Sectorial'!$H9*'FE Sectorial'!L9/1000/1000</f>
        <v>3105.7910999999999</v>
      </c>
      <c r="L10" s="92">
        <f>'Datos Actividad'!$T6*'FE Sectorial'!$H9*'FE Sectorial'!M9/1000/1000</f>
        <v>207.05274</v>
      </c>
      <c r="M10" s="92">
        <f>'Datos Actividad'!$T6*'FE Sectorial'!$H9*'FE Sectorial'!N9/1000/1000</f>
        <v>51.763185</v>
      </c>
      <c r="N10" s="92">
        <f>'Datos Actividad'!$T6*'FE Sectorial'!$H9*'FE Sectorial'!O9/1000/1000</f>
        <v>9911.2455000000009</v>
      </c>
      <c r="O10" s="92">
        <f>IF(D10&lt;400,H10+I10*'Factores generales'!$M$41+J10*'Factores generales'!$N$41,I10*'Factores generales'!$M$41+J10*'Factores generales'!$N$41)</f>
        <v>964803.65257799986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Actividad'!$T7*'FE Sectorial'!$H10*'FE Sectorial'!I10*'FE Sectorial'!$P10/1000</f>
        <v>326421.14075999998</v>
      </c>
      <c r="I11" s="17">
        <f>'Datos Actividad'!$T7*'FE Sectorial'!$H10*'FE Sectorial'!J10/1000/1000</f>
        <v>13.34892</v>
      </c>
      <c r="J11" s="17">
        <f>'Datos Actividad'!$T7*'FE Sectorial'!$H10*'FE Sectorial'!K10/1000/1000</f>
        <v>2.6697839999999999</v>
      </c>
      <c r="K11" s="17">
        <f>'Datos Actividad'!$T7*'FE Sectorial'!$H10*'FE Sectorial'!L10/1000/1000</f>
        <v>889.928</v>
      </c>
      <c r="L11" s="17">
        <f>'Datos Actividad'!$T7*'FE Sectorial'!$H10*'FE Sectorial'!M10/1000/1000</f>
        <v>66.744600000000005</v>
      </c>
      <c r="M11" s="17">
        <f>'Datos Actividad'!$T7*'FE Sectorial'!$H10*'FE Sectorial'!N10/1000/1000</f>
        <v>22.248200000000001</v>
      </c>
      <c r="N11" s="17">
        <f>'Datos Actividad'!$T7*'FE Sectorial'!$H10*'FE Sectorial'!O10/1000/1000</f>
        <v>161.4288</v>
      </c>
      <c r="O11" s="17">
        <f>IF(D11&lt;400,H11+I11*'Factores generales'!$M$41+J11*'Factores generales'!$N$41,I11*'Factores generales'!$M$41+J11*'Factores generales'!$N$41)</f>
        <v>327529.10111999995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Actividad'!$T8*'FE Sectorial'!$H11*'FE Sectorial'!I11*'FE Sectorial'!$P11/1000</f>
        <v>1147584.8140416003</v>
      </c>
      <c r="I12" s="92">
        <f>'Datos Actividad'!$T8*'FE Sectorial'!$H11*'FE Sectorial'!J11/1000/1000</f>
        <v>44.929324799999996</v>
      </c>
      <c r="J12" s="92">
        <f>'Datos Actividad'!$T8*'FE Sectorial'!$H11*'FE Sectorial'!K11/1000/1000</f>
        <v>8.9858649599999989</v>
      </c>
      <c r="K12" s="92">
        <f>'Datos Actividad'!$T8*'FE Sectorial'!$H11*'FE Sectorial'!L11/1000/1000</f>
        <v>2995.2883199999997</v>
      </c>
      <c r="L12" s="92">
        <f>'Datos Actividad'!$T8*'FE Sectorial'!$H11*'FE Sectorial'!M11/1000/1000</f>
        <v>224.646624</v>
      </c>
      <c r="M12" s="92">
        <f>'Datos Actividad'!$T8*'FE Sectorial'!$H11*'FE Sectorial'!N11/1000/1000</f>
        <v>74.882208000000006</v>
      </c>
      <c r="N12" s="92">
        <f>'Datos Actividad'!$T8*'FE Sectorial'!$H11*'FE Sectorial'!O11/1000/1000</f>
        <v>2965.6320000000001</v>
      </c>
      <c r="O12" s="92">
        <f>IF(D12&lt;400,H12+I12*'Factores generales'!$M$41+J12*'Factores generales'!$N$41,I12*'Factores generales'!$M$41+J12*'Factores generales'!$N$41)</f>
        <v>1151313.9480000003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Actividad'!$T9*'FE Sectorial'!$H12*'FE Sectorial'!I12*'FE Sectorial'!$P12/1000</f>
        <v>16314884.275604112</v>
      </c>
      <c r="I13" s="17">
        <f>'Datos Actividad'!$T9*'FE Sectorial'!$H12*'FE Sectorial'!J12/1000/1000</f>
        <v>292.27929801600004</v>
      </c>
      <c r="J13" s="17">
        <f>'Datos Actividad'!$T9*'FE Sectorial'!$H12*'FE Sectorial'!K12/1000/1000</f>
        <v>29.227929801600006</v>
      </c>
      <c r="K13" s="17">
        <f>'Datos Actividad'!$T9*'FE Sectorial'!$H12*'FE Sectorial'!L12/1000/1000</f>
        <v>43841.894702400001</v>
      </c>
      <c r="L13" s="17">
        <f>'Datos Actividad'!$T9*'FE Sectorial'!$H12*'FE Sectorial'!M12/1000/1000</f>
        <v>5845.5859603200006</v>
      </c>
      <c r="M13" s="17">
        <f>'Datos Actividad'!$T9*'FE Sectorial'!$H12*'FE Sectorial'!N12/1000/1000</f>
        <v>1461.3964900800001</v>
      </c>
      <c r="N13" s="17">
        <f>'Datos Actividad'!$T9*'FE Sectorial'!$H12*'FE Sectorial'!O12/1000/1000</f>
        <v>0</v>
      </c>
      <c r="O13" s="17">
        <f>IF(D13&lt;400,H13+I13*'Factores generales'!$M$41+J13*'Factores generales'!$N$41,I13*'Factores generales'!$M$41+J13*'Factores generales'!$N$41)</f>
        <v>16330082.799100945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Actividad'!$T10*'FE Sectorial'!$H13*'FE Sectorial'!I13*'FE Sectorial'!$P13/1000</f>
        <v>0</v>
      </c>
      <c r="I14" s="147">
        <f>'Datos Actividad'!$T10*'FE Sectorial'!$H13*'FE Sectorial'!J13/1000/1000</f>
        <v>0</v>
      </c>
      <c r="J14" s="147">
        <f>'Datos Actividad'!$T10*'FE Sectorial'!$H13*'FE Sectorial'!K13/1000/1000</f>
        <v>0</v>
      </c>
      <c r="K14" s="147">
        <f>'Datos Actividad'!$T10*'FE Sectorial'!$H13*'FE Sectorial'!L13/1000/1000</f>
        <v>0</v>
      </c>
      <c r="L14" s="147">
        <f>'Datos Actividad'!$T10*'FE Sectorial'!$H13*'FE Sectorial'!M13/1000/1000</f>
        <v>0</v>
      </c>
      <c r="M14" s="147">
        <f>'Datos Actividad'!$T10*'FE Sectorial'!$H13*'FE Sectorial'!N13/1000/1000</f>
        <v>0</v>
      </c>
      <c r="N14" s="147">
        <f>'Datos Actividad'!$T10*'FE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5373214.5486430386</v>
      </c>
      <c r="I17" s="134">
        <f t="shared" ref="I17:O17" si="5">SUM(I18:I25)</f>
        <v>151.77013437347765</v>
      </c>
      <c r="J17" s="134">
        <f t="shared" si="5"/>
        <v>26.107496595390266</v>
      </c>
      <c r="K17" s="134">
        <f t="shared" si="5"/>
        <v>14276.13726116167</v>
      </c>
      <c r="L17" s="134">
        <f t="shared" si="5"/>
        <v>1494.6131085000197</v>
      </c>
      <c r="M17" s="134">
        <f t="shared" si="5"/>
        <v>416.4529876519365</v>
      </c>
      <c r="N17" s="134">
        <f t="shared" si="5"/>
        <v>5735.8709449231219</v>
      </c>
      <c r="O17" s="134">
        <f t="shared" si="5"/>
        <v>5384495.0454094531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Actividad'!$T14*'FE Sectorial'!$H17*'FE Sectorial'!I17*'FE Sectorial'!P17/1000</f>
        <v>1852093.4589131044</v>
      </c>
      <c r="I18" s="17">
        <f>'Datos Actividad'!$T14*'FE Sectorial'!$H17*'FE Sectorial'!J17/1000/1000</f>
        <v>33.180043871999999</v>
      </c>
      <c r="J18" s="17">
        <f>'Datos Actividad'!$T14*'FE Sectorial'!$H17*'FE Sectorial'!K17/1000/1000</f>
        <v>3.3180043872000007</v>
      </c>
      <c r="K18" s="17">
        <f>'Datos Actividad'!$T14*'FE Sectorial'!$H17*'FE Sectorial'!L17/1000/1000</f>
        <v>4977.0065808000018</v>
      </c>
      <c r="L18" s="17">
        <f>'Datos Actividad'!$T14*'FE Sectorial'!$H17*'FE Sectorial'!M17/1000/1000</f>
        <v>663.60087744000009</v>
      </c>
      <c r="M18" s="17">
        <f>'Datos Actividad'!$T14*'FE Sectorial'!$H17*'FE Sectorial'!N17/1000/1000</f>
        <v>165.90021936000002</v>
      </c>
      <c r="N18" s="17">
        <f>'Datos Actividad'!$T14*'FE Sectorial'!$H17*'FE Sectorial'!O17/1000/1000</f>
        <v>0</v>
      </c>
      <c r="O18" s="87">
        <f>IF(D18&lt;400,H18+I18*'Factores generales'!$M$41+J18*'Factores generales'!$N$41,I18*'Factores generales'!$M$41+J18*'Factores generales'!$N$41)</f>
        <v>1853818.8211944485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Actividad'!$T15*'FE Sectorial'!$H18*'FE Sectorial'!I18*'FE Sectorial'!P18/1000</f>
        <v>0</v>
      </c>
      <c r="I19" s="17">
        <f>'Datos Actividad'!$T15*'FE Sectorial'!$H18*'FE Sectorial'!J18/1000/1000</f>
        <v>0</v>
      </c>
      <c r="J19" s="17">
        <f>'Datos Actividad'!$T15*'FE Sectorial'!$H18*'FE Sectorial'!K18/1000/1000</f>
        <v>0</v>
      </c>
      <c r="K19" s="17">
        <f>'Datos Actividad'!$T15*'FE Sectorial'!$H18*'FE Sectorial'!L18/1000/1000</f>
        <v>0</v>
      </c>
      <c r="L19" s="17">
        <f>'Datos Actividad'!$T15*'FE Sectorial'!$H18*'FE Sectorial'!M18/1000/1000</f>
        <v>0</v>
      </c>
      <c r="M19" s="17">
        <f>'Datos Actividad'!$T15*'FE Sectorial'!$H18*'FE Sectorial'!N18/1000/1000</f>
        <v>0</v>
      </c>
      <c r="N19" s="17">
        <f>'Datos Actividad'!$T15*'FE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Actividad'!$T16*'FE Sectorial'!$H19*'FE Sectorial'!I19*'FE Sectorial'!P19/1000</f>
        <v>882627.18033600005</v>
      </c>
      <c r="I20" s="17">
        <f>'Datos Actividad'!$T16*'FE Sectorial'!$H19*'FE Sectorial'!J19/1000/1000</f>
        <v>15.4003905</v>
      </c>
      <c r="J20" s="17">
        <f>'Datos Actividad'!$T16*'FE Sectorial'!$H19*'FE Sectorial'!K19/1000/1000</f>
        <v>1.5400390500000001</v>
      </c>
      <c r="K20" s="17">
        <f>'Datos Actividad'!$T16*'FE Sectorial'!$H19*'FE Sectorial'!L19/1000/1000</f>
        <v>2310.058575</v>
      </c>
      <c r="L20" s="17">
        <f>'Datos Actividad'!$T16*'FE Sectorial'!$H19*'FE Sectorial'!M19/1000/1000</f>
        <v>308.00781000000001</v>
      </c>
      <c r="M20" s="17">
        <f>'Datos Actividad'!$T16*'FE Sectorial'!$H19*'FE Sectorial'!N19/1000/1000</f>
        <v>77.001952500000002</v>
      </c>
      <c r="N20" s="17">
        <f>'Datos Actividad'!$T16*'FE Sectorial'!$H19*'FE Sectorial'!O19/1000/1000</f>
        <v>0</v>
      </c>
      <c r="O20" s="87">
        <f>IF(D20&lt;400,H20+I20*'Factores generales'!$M$41+J20*'Factores generales'!$N$41,I20*'Factores generales'!$M$41+J20*'Factores generales'!$N$41)</f>
        <v>883428.000642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Actividad'!$T17*'FE Sectorial'!$H20*'FE Sectorial'!I20*'FE Sectorial'!P20/1000</f>
        <v>100885.86080388351</v>
      </c>
      <c r="I21" s="17">
        <f>'Datos Actividad'!$T17*'FE Sectorial'!$H20*'FE Sectorial'!J20/1000/1000</f>
        <v>4.2757304854368936</v>
      </c>
      <c r="J21" s="17">
        <f>'Datos Actividad'!$T17*'FE Sectorial'!$H20*'FE Sectorial'!K20/1000/1000</f>
        <v>0.85514609708737876</v>
      </c>
      <c r="K21" s="17">
        <f>'Datos Actividad'!$T17*'FE Sectorial'!$H20*'FE Sectorial'!L20/1000/1000</f>
        <v>285.04869902912623</v>
      </c>
      <c r="L21" s="17">
        <f>'Datos Actividad'!$T17*'FE Sectorial'!$H20*'FE Sectorial'!M20/1000/1000</f>
        <v>21.37865242718447</v>
      </c>
      <c r="M21" s="17">
        <f>'Datos Actividad'!$T17*'FE Sectorial'!$H20*'FE Sectorial'!N20/1000/1000</f>
        <v>7.126217475728156</v>
      </c>
      <c r="N21" s="17">
        <f>'Datos Actividad'!$T17*'FE Sectorial'!$H20*'FE Sectorial'!O20/1000/1000</f>
        <v>64.636893203883503</v>
      </c>
      <c r="O21" s="87">
        <f>IF(D21&lt;400,H21+I21*'Factores generales'!$M$41+J21*'Factores generales'!$N$41,I21*'Factores generales'!$M$41+J21*'Factores generales'!$N$41)</f>
        <v>101240.74643417477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Actividad'!$T18*'FE Sectorial'!$H21*'FE Sectorial'!I21*'FE Sectorial'!P21/1000</f>
        <v>84884.582806434773</v>
      </c>
      <c r="I22" s="17">
        <f>'Datos Actividad'!$T18*'FE Sectorial'!$H21*'FE Sectorial'!J21/1000/1000</f>
        <v>3.711775014492753</v>
      </c>
      <c r="J22" s="17">
        <f>'Datos Actividad'!$T18*'FE Sectorial'!$H21*'FE Sectorial'!K21/1000/1000</f>
        <v>0.7423550028985505</v>
      </c>
      <c r="K22" s="17">
        <f>'Datos Actividad'!$T18*'FE Sectorial'!$H21*'FE Sectorial'!L21/1000/1000</f>
        <v>247.45166763285022</v>
      </c>
      <c r="L22" s="17">
        <f>'Datos Actividad'!$T18*'FE Sectorial'!$H21*'FE Sectorial'!M21/1000/1000</f>
        <v>18.558875072463763</v>
      </c>
      <c r="M22" s="17">
        <f>'Datos Actividad'!$T18*'FE Sectorial'!$H21*'FE Sectorial'!N21/1000/1000</f>
        <v>6.186291690821256</v>
      </c>
      <c r="N22" s="17">
        <f>'Datos Actividad'!$T18*'FE Sectorial'!$H21*'FE Sectorial'!O21/1000/1000</f>
        <v>5.5858164251207727</v>
      </c>
      <c r="O22" s="87">
        <f>IF(D22&lt;400,H22+I22*'Factores generales'!$M$41+J22*'Factores generales'!$N$41,I22*'Factores generales'!$M$41+J22*'Factores generales'!$N$41)</f>
        <v>85192.660132637669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Actividad'!$T19*'FE Sectorial'!$H22*'FE Sectorial'!I22*'FE Sectorial'!P22/1000</f>
        <v>266364.37138235295</v>
      </c>
      <c r="I23" s="17">
        <f>'Datos Actividad'!$T19*'FE Sectorial'!$H22*'FE Sectorial'!J22/1000/1000</f>
        <v>10.892911764705882</v>
      </c>
      <c r="J23" s="17">
        <f>'Datos Actividad'!$T19*'FE Sectorial'!$H22*'FE Sectorial'!K22/1000/1000</f>
        <v>2.1785823529411763</v>
      </c>
      <c r="K23" s="17">
        <f>'Datos Actividad'!$T19*'FE Sectorial'!$H22*'FE Sectorial'!L22/1000/1000</f>
        <v>726.19411764705876</v>
      </c>
      <c r="L23" s="17">
        <f>'Datos Actividad'!$T19*'FE Sectorial'!$H22*'FE Sectorial'!M22/1000/1000</f>
        <v>54.464558823529416</v>
      </c>
      <c r="M23" s="17">
        <f>'Datos Actividad'!$T19*'FE Sectorial'!$H22*'FE Sectorial'!N22/1000/1000</f>
        <v>18.154852941176475</v>
      </c>
      <c r="N23" s="17">
        <f>'Datos Actividad'!$T19*'FE Sectorial'!$H22*'FE Sectorial'!O22/1000/1000</f>
        <v>131.72823529411764</v>
      </c>
      <c r="O23" s="87">
        <f>IF(D23&lt;400,H23+I23*'Factores generales'!$M$41+J23*'Factores generales'!$N$41,I23*'Factores generales'!$M$41+J23*'Factores generales'!$N$41)</f>
        <v>267268.48305882356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Actividad'!$T20*'FE Sectorial'!$H23*'FE Sectorial'!I23*'FE Sectorial'!P23/1000</f>
        <v>2141412.8772959998</v>
      </c>
      <c r="I24" s="17">
        <f>'Datos Actividad'!$T20*'FE Sectorial'!$H23*'FE Sectorial'!J23/1000/1000</f>
        <v>83.838888000000011</v>
      </c>
      <c r="J24" s="17">
        <f>'Datos Actividad'!$T20*'FE Sectorial'!$H23*'FE Sectorial'!K23/1000/1000</f>
        <v>16.767777600000002</v>
      </c>
      <c r="K24" s="17">
        <f>'Datos Actividad'!$T20*'FE Sectorial'!$H23*'FE Sectorial'!L23/1000/1000</f>
        <v>5589.2592000000004</v>
      </c>
      <c r="L24" s="17">
        <f>'Datos Actividad'!$T20*'FE Sectorial'!$H23*'FE Sectorial'!M23/1000/1000</f>
        <v>419.19443999999999</v>
      </c>
      <c r="M24" s="17">
        <f>'Datos Actividad'!$T20*'FE Sectorial'!$H23*'FE Sectorial'!N23/1000/1000</f>
        <v>139.73148</v>
      </c>
      <c r="N24" s="17">
        <f>'Datos Actividad'!$T20*'FE Sectorial'!$H23*'FE Sectorial'!O23/1000/1000</f>
        <v>5533.92</v>
      </c>
      <c r="O24" s="87">
        <f>IF(D24&lt;400,H24+I24*'Factores generales'!$M$41+J24*'Factores generales'!$N$41,I24*'Factores generales'!$M$41+J24*'Factores generales'!$N$41)</f>
        <v>2148371.5049999999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Actividad'!$T21*'FE Sectorial'!$H24*'FE Sectorial'!I24*'FE Sectorial'!P24/1000</f>
        <v>44946.21710526316</v>
      </c>
      <c r="I25" s="17">
        <f>'Datos Actividad'!$T21*'FE Sectorial'!$H24*'FE Sectorial'!J24/1000/1000</f>
        <v>0.4703947368421052</v>
      </c>
      <c r="J25" s="17">
        <f>'Datos Actividad'!$T21*'FE Sectorial'!$H24*'FE Sectorial'!K24/1000/1000</f>
        <v>0.70559210526315808</v>
      </c>
      <c r="K25" s="17">
        <f>'Datos Actividad'!$T21*'FE Sectorial'!$H24*'FE Sectorial'!L24/1000/1000</f>
        <v>141.11842105263153</v>
      </c>
      <c r="L25" s="17">
        <f>'Datos Actividad'!$T21*'FE Sectorial'!$H24*'FE Sectorial'!M24/1000/1000</f>
        <v>9.4078947368421044</v>
      </c>
      <c r="M25" s="17">
        <f>'Datos Actividad'!$T21*'FE Sectorial'!$H24*'FE Sectorial'!N24/1000/1000</f>
        <v>2.3519736842105261</v>
      </c>
      <c r="N25" s="17">
        <f>'Datos Actividad'!$T21*'FE Sectorial'!$H24*'FE Sectorial'!O24/1000/1000</f>
        <v>0</v>
      </c>
      <c r="O25" s="87">
        <f>IF(D25&lt;400,H25+I25*'Factores generales'!$M$41+J25*'Factores generales'!$N$41,I25*'Factores generales'!$M$41+J25*'Factores generales'!$N$41)</f>
        <v>45174.828947368427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5910242.7438052874</v>
      </c>
      <c r="I26" s="134">
        <f t="shared" ref="I26:O26" si="6">I27+I28</f>
        <v>107.0165596677966</v>
      </c>
      <c r="J26" s="134">
        <f t="shared" si="6"/>
        <v>13.412525981694914</v>
      </c>
      <c r="K26" s="134">
        <f t="shared" si="6"/>
        <v>15972.960380338982</v>
      </c>
      <c r="L26" s="134">
        <f t="shared" si="6"/>
        <v>2081.3226933559322</v>
      </c>
      <c r="M26" s="134">
        <f t="shared" si="6"/>
        <v>521.96979833898308</v>
      </c>
      <c r="N26" s="134">
        <f t="shared" si="6"/>
        <v>2390.766233898305</v>
      </c>
      <c r="O26" s="134">
        <f t="shared" si="6"/>
        <v>5916647.9746126356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5910242.7438052874</v>
      </c>
      <c r="I28" s="15">
        <f t="shared" si="7"/>
        <v>107.0165596677966</v>
      </c>
      <c r="J28" s="15">
        <f t="shared" si="7"/>
        <v>13.412525981694914</v>
      </c>
      <c r="K28" s="15">
        <f t="shared" si="7"/>
        <v>15972.960380338982</v>
      </c>
      <c r="L28" s="15">
        <f t="shared" si="7"/>
        <v>2081.3226933559322</v>
      </c>
      <c r="M28" s="15">
        <f t="shared" si="7"/>
        <v>521.96979833898308</v>
      </c>
      <c r="N28" s="15">
        <f t="shared" si="7"/>
        <v>2390.766233898305</v>
      </c>
      <c r="O28" s="15">
        <f t="shared" si="7"/>
        <v>5916647.9746126356</v>
      </c>
    </row>
    <row r="29" spans="1:15" outlineLevel="1" x14ac:dyDescent="0.25">
      <c r="B29" s="1" t="s">
        <v>7</v>
      </c>
      <c r="G29" s="1"/>
      <c r="H29" s="95">
        <f t="shared" ref="H29:O29" si="8">H30+H31</f>
        <v>153463.52658768813</v>
      </c>
      <c r="I29" s="95">
        <f t="shared" si="8"/>
        <v>1.6553428677966102</v>
      </c>
      <c r="J29" s="95">
        <f t="shared" si="8"/>
        <v>2.4830143016949155</v>
      </c>
      <c r="K29" s="95">
        <f t="shared" si="8"/>
        <v>496.60286033898308</v>
      </c>
      <c r="L29" s="95">
        <f t="shared" si="8"/>
        <v>33.106857355932206</v>
      </c>
      <c r="M29" s="95">
        <f t="shared" si="8"/>
        <v>8.2767143389830515</v>
      </c>
      <c r="N29" s="95">
        <f t="shared" si="8"/>
        <v>1584.766233898305</v>
      </c>
      <c r="O29" s="95">
        <f t="shared" si="8"/>
        <v>154268.02322143727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Actividad'!$T26*'FE Sectorial'!$H29*'FE Sectorial'!I29*'FE Sectorial'!P29/1000</f>
        <v>153463.52658768813</v>
      </c>
      <c r="I30" s="17">
        <f>'Datos Actividad'!$T26*'FE Sectorial'!$H29*'FE Sectorial'!J29/1000/1000</f>
        <v>1.6553428677966102</v>
      </c>
      <c r="J30" s="17">
        <f>'Datos Actividad'!$T26*'FE Sectorial'!$H29*'FE Sectorial'!K29/1000/1000</f>
        <v>2.4830143016949155</v>
      </c>
      <c r="K30" s="17">
        <f>'Datos Actividad'!$T26*'FE Sectorial'!$H29*'FE Sectorial'!L29/1000/1000</f>
        <v>496.60286033898308</v>
      </c>
      <c r="L30" s="17">
        <f>'Datos Actividad'!$T26*'FE Sectorial'!$H29*'FE Sectorial'!M29/1000/1000</f>
        <v>33.106857355932206</v>
      </c>
      <c r="M30" s="17">
        <f>'Datos Actividad'!$T26*'FE Sectorial'!$H29*'FE Sectorial'!N29/1000/1000</f>
        <v>8.2767143389830515</v>
      </c>
      <c r="N30" s="17">
        <f>'Datos Actividad'!$T26*'FE Sectorial'!$H29*'FE Sectorial'!O29/1000/1000</f>
        <v>1584.766233898305</v>
      </c>
      <c r="O30" s="87">
        <f>IF(D30&lt;400,H30+I30*'Factores generales'!$M$41+J30*'Factores generales'!$N$41,I30*'Factores generales'!$M$41+J30*'Factores generales'!$N$41)</f>
        <v>154268.02322143727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Actividad'!$T27*'FE Sectorial'!$H30*'FE Sectorial'!I30*'FE Sectorial'!P30/1000</f>
        <v>0</v>
      </c>
      <c r="I31" s="17">
        <f>'Datos Actividad'!$T27*'FE Sectorial'!$H30*'FE Sectorial'!J30/1000/1000</f>
        <v>0</v>
      </c>
      <c r="J31" s="17">
        <f>'Datos Actividad'!$T27*'FE Sectorial'!$H30*'FE Sectorial'!K30/1000/1000</f>
        <v>0</v>
      </c>
      <c r="K31" s="17">
        <f>'Datos Actividad'!$T27*'FE Sectorial'!$H30*'FE Sectorial'!L30/1000/1000</f>
        <v>0</v>
      </c>
      <c r="L31" s="17">
        <f>'Datos Actividad'!$T27*'FE Sectorial'!$H30*'FE Sectorial'!M30/1000/1000</f>
        <v>0</v>
      </c>
      <c r="M31" s="17">
        <f>'Datos Actividad'!$T27*'FE Sectorial'!$H30*'FE Sectorial'!N30/1000/1000</f>
        <v>0</v>
      </c>
      <c r="N31" s="17">
        <f>'Datos Actividad'!$T27*'FE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5756779.217217599</v>
      </c>
      <c r="I32" s="17">
        <f t="shared" ref="I32:O32" si="9">I33+I34+I35</f>
        <v>105.36121679999999</v>
      </c>
      <c r="J32" s="17">
        <f t="shared" si="9"/>
        <v>10.929511679999999</v>
      </c>
      <c r="K32" s="17">
        <f t="shared" si="9"/>
        <v>15476.35752</v>
      </c>
      <c r="L32" s="17">
        <f t="shared" si="9"/>
        <v>2048.2158359999999</v>
      </c>
      <c r="M32" s="17">
        <f t="shared" si="9"/>
        <v>513.693084</v>
      </c>
      <c r="N32" s="17">
        <f t="shared" si="9"/>
        <v>806</v>
      </c>
      <c r="O32" s="17">
        <f t="shared" si="9"/>
        <v>5762379.9513911987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Actividad'!$T29*'FE Sectorial'!$H32*'FE Sectorial'!I32*'FE Sectorial'!P32/1000</f>
        <v>5661622.1101175994</v>
      </c>
      <c r="I33" s="17">
        <f>'Datos Actividad'!$T29*'FE Sectorial'!$H32*'FE Sectorial'!J32/1000/1000</f>
        <v>101.4273168</v>
      </c>
      <c r="J33" s="17">
        <f>'Datos Actividad'!$T29*'FE Sectorial'!$H32*'FE Sectorial'!K32/1000/1000</f>
        <v>10.142731679999999</v>
      </c>
      <c r="K33" s="17">
        <f>'Datos Actividad'!$T29*'FE Sectorial'!$H32*'FE Sectorial'!L32/1000/1000</f>
        <v>15214.097519999999</v>
      </c>
      <c r="L33" s="17">
        <f>'Datos Actividad'!$T29*'FE Sectorial'!$H32*'FE Sectorial'!M32/1000/1000</f>
        <v>2028.5463359999999</v>
      </c>
      <c r="M33" s="17">
        <f>'Datos Actividad'!$T29*'FE Sectorial'!$H32*'FE Sectorial'!N32/1000/1000</f>
        <v>507.13658399999997</v>
      </c>
      <c r="N33" s="17">
        <f>'Datos Actividad'!$T29*'FE Sectorial'!$H32*'FE Sectorial'!O32/1000/1000</f>
        <v>0</v>
      </c>
      <c r="O33" s="87">
        <f>IF(D33&lt;400,H33+I33*'Factores generales'!$M$41+J33*'Factores generales'!$N$41,I33*'Factores generales'!$M$41+J33*'Factores generales'!$N$41)</f>
        <v>5666896.330591199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Actividad'!$T30*'FE Sectorial'!$H33*'FE Sectorial'!I33*'FE Sectorial'!P33/1000</f>
        <v>0</v>
      </c>
      <c r="I34" s="17">
        <f>'Datos Actividad'!$T30*'FE Sectorial'!$H33*'FE Sectorial'!J33/1000/1000</f>
        <v>0</v>
      </c>
      <c r="J34" s="17">
        <f>'Datos Actividad'!$T30*'FE Sectorial'!$H33*'FE Sectorial'!K33/1000/1000</f>
        <v>0</v>
      </c>
      <c r="K34" s="17">
        <f>'Datos Actividad'!$T30*'FE Sectorial'!$H33*'FE Sectorial'!L33/1000/1000</f>
        <v>0</v>
      </c>
      <c r="L34" s="17">
        <f>'Datos Actividad'!$T30*'FE Sectorial'!$H33*'FE Sectorial'!M33/1000/1000</f>
        <v>0</v>
      </c>
      <c r="M34" s="17">
        <f>'Datos Actividad'!$T30*'FE Sectorial'!$H33*'FE Sectorial'!N33/1000/1000</f>
        <v>0</v>
      </c>
      <c r="N34" s="17">
        <f>'Datos Actividad'!$T30*'FE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Actividad'!$T31*'FE Sectorial'!$H34*'FE Sectorial'!I34*'FE Sectorial'!P34/1000</f>
        <v>95157.107099999994</v>
      </c>
      <c r="I35" s="17">
        <f>'Datos Actividad'!$T31*'FE Sectorial'!$H34*'FE Sectorial'!J34/1000/1000</f>
        <v>3.9339</v>
      </c>
      <c r="J35" s="17">
        <f>'Datos Actividad'!$T31*'FE Sectorial'!$H34*'FE Sectorial'!K34/1000/1000</f>
        <v>0.78677999999999992</v>
      </c>
      <c r="K35" s="17">
        <f>'Datos Actividad'!$T31*'FE Sectorial'!$H34*'FE Sectorial'!L34/1000/1000</f>
        <v>262.26</v>
      </c>
      <c r="L35" s="17">
        <f>'Datos Actividad'!$T31*'FE Sectorial'!$H34*'FE Sectorial'!M34/1000/1000</f>
        <v>19.669499999999999</v>
      </c>
      <c r="M35" s="17">
        <f>'Datos Actividad'!$T31*'FE Sectorial'!$H34*'FE Sectorial'!N34/1000/1000</f>
        <v>6.5564999999999998</v>
      </c>
      <c r="N35" s="17">
        <f>'Datos Actividad'!$T31*'FE Sectorial'!$H34*'FE Sectorial'!O34/1000/1000</f>
        <v>806</v>
      </c>
      <c r="O35" s="87">
        <f>IF(D35&lt;400,H35+I35*'Factores generales'!$M$41+J35*'Factores generales'!$N$41,I35*'Factores generales'!$M$41+J35*'Factores generales'!$N$41)</f>
        <v>95483.620800000004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21717489.061864238</v>
      </c>
      <c r="I36" s="129">
        <f t="shared" si="10"/>
        <v>2991.8619402587183</v>
      </c>
      <c r="J36" s="129">
        <f t="shared" si="10"/>
        <v>436.24382452493967</v>
      </c>
      <c r="K36" s="129">
        <f t="shared" si="10"/>
        <v>63140.491907333599</v>
      </c>
      <c r="L36" s="129">
        <f t="shared" si="10"/>
        <v>349343.30453691463</v>
      </c>
      <c r="M36" s="129">
        <f t="shared" si="10"/>
        <v>6412.1773644923751</v>
      </c>
      <c r="N36" s="129">
        <f t="shared" si="10"/>
        <v>6903.2996216054898</v>
      </c>
      <c r="O36" s="129">
        <f t="shared" si="10"/>
        <v>21989222.5593374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7482049.1514860494</v>
      </c>
      <c r="I37" s="134">
        <f t="shared" ref="I37:O37" si="11">SUM(I38:I44)</f>
        <v>83.871918148331702</v>
      </c>
      <c r="J37" s="134">
        <f t="shared" si="11"/>
        <v>38.399164768049552</v>
      </c>
      <c r="K37" s="134">
        <f t="shared" si="11"/>
        <v>15796.356252951509</v>
      </c>
      <c r="L37" s="134">
        <f t="shared" si="11"/>
        <v>5088.6123690113545</v>
      </c>
      <c r="M37" s="134">
        <f t="shared" si="11"/>
        <v>740.91644381183391</v>
      </c>
      <c r="N37" s="134">
        <f t="shared" si="11"/>
        <v>0</v>
      </c>
      <c r="O37" s="134">
        <f t="shared" si="11"/>
        <v>7495714.2028452605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Actividad'!$T34*'FE Sectorial'!$H37*'FE Sectorial'!I37*'FE Sectorial'!P37/1000</f>
        <v>2637409.7047232883</v>
      </c>
      <c r="I38" s="17">
        <f>'Datos Actividad'!$T34*'FE Sectorial'!$H37*'FE Sectorial'!J37/1000/1000</f>
        <v>47.248895184000006</v>
      </c>
      <c r="J38" s="17">
        <f>'Datos Actividad'!$T34*'FE Sectorial'!$H37*'FE Sectorial'!K37/1000/1000</f>
        <v>4.7248895184000013</v>
      </c>
      <c r="K38" s="17">
        <f>'Datos Actividad'!$T34*'FE Sectorial'!$H37*'FE Sectorial'!L37/1000/1000</f>
        <v>7087.3342776000018</v>
      </c>
      <c r="L38" s="17">
        <f>'Datos Actividad'!$T34*'FE Sectorial'!$H37*'FE Sectorial'!M37/1000/1000</f>
        <v>1417.4668555200003</v>
      </c>
      <c r="M38" s="17">
        <f>'Datos Actividad'!$T34*'FE Sectorial'!$H37*'FE Sectorial'!N37/1000/1000</f>
        <v>236.24447592000004</v>
      </c>
      <c r="N38" s="17">
        <f>'Datos Actividad'!$T34*'FE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2639866.6472728564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Actividad'!$T35*'FE Sectorial'!$H38*'FE Sectorial'!I38*'FE Sectorial'!P38/1000</f>
        <v>2563146.1189283044</v>
      </c>
      <c r="I39" s="17">
        <f>'Datos Actividad'!$T35*'FE Sectorial'!$H38*'FE Sectorial'!J38/1000/1000</f>
        <v>9.9077932699200009</v>
      </c>
      <c r="J39" s="17">
        <f>'Datos Actividad'!$T35*'FE Sectorial'!$H38*'FE Sectorial'!K38/1000/1000</f>
        <v>0.990779326992</v>
      </c>
      <c r="K39" s="17">
        <f>'Datos Actividad'!$T35*'FE Sectorial'!$H38*'FE Sectorial'!L38/1000/1000</f>
        <v>1486.1689904880002</v>
      </c>
      <c r="L39" s="17">
        <f>'Datos Actividad'!$T35*'FE Sectorial'!$H38*'FE Sectorial'!M38/1000/1000</f>
        <v>297.23379809760007</v>
      </c>
      <c r="M39" s="17">
        <f>'Datos Actividad'!$T35*'FE Sectorial'!$H38*'FE Sectorial'!N38/1000/1000</f>
        <v>49.538966349600003</v>
      </c>
      <c r="N39" s="17">
        <f>'Datos Actividad'!$T35*'FE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2563661.3241783399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Actividad'!$T36*'FE Sectorial'!$H39*'FE Sectorial'!I39*'FE Sectorial'!P39/1000</f>
        <v>233176.17377743919</v>
      </c>
      <c r="I40" s="17">
        <f>'Datos Actividad'!$T36*'FE Sectorial'!$H39*'FE Sectorial'!J39/1000/1000</f>
        <v>5.2781061564000007</v>
      </c>
      <c r="J40" s="17">
        <f>'Datos Actividad'!$T36*'FE Sectorial'!$H39*'FE Sectorial'!K39/1000/1000</f>
        <v>0.52781061564000009</v>
      </c>
      <c r="K40" s="17">
        <f>'Datos Actividad'!$T36*'FE Sectorial'!$H39*'FE Sectorial'!L39/1000/1000</f>
        <v>791.71592346000023</v>
      </c>
      <c r="L40" s="17">
        <f>'Datos Actividad'!$T36*'FE Sectorial'!$H39*'FE Sectorial'!M39/1000/1000</f>
        <v>158.34318469200005</v>
      </c>
      <c r="M40" s="17">
        <f>'Datos Actividad'!$T36*'FE Sectorial'!$H39*'FE Sectorial'!N39/1000/1000</f>
        <v>26.390530782000006</v>
      </c>
      <c r="N40" s="17">
        <f>'Datos Actividad'!$T36*'FE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233450.63529757198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Actividad'!$T37*'FE Sectorial'!$H40*'FE Sectorial'!I40*'FE Sectorial'!P40/1000</f>
        <v>0</v>
      </c>
      <c r="I41" s="17">
        <f>'Datos Actividad'!$T37*'FE Sectorial'!$H40*'FE Sectorial'!J40/1000/1000</f>
        <v>0</v>
      </c>
      <c r="J41" s="17">
        <f>'Datos Actividad'!$T37*'FE Sectorial'!$H40*'FE Sectorial'!K40/1000/1000</f>
        <v>0</v>
      </c>
      <c r="K41" s="17">
        <f>'Datos Actividad'!$T37*'FE Sectorial'!$H40*'FE Sectorial'!L40/1000/1000</f>
        <v>0</v>
      </c>
      <c r="L41" s="17">
        <f>'Datos Actividad'!$T37*'FE Sectorial'!$H40*'FE Sectorial'!M40/1000/1000</f>
        <v>0</v>
      </c>
      <c r="M41" s="17">
        <f>'Datos Actividad'!$T37*'FE Sectorial'!$H40*'FE Sectorial'!N40/1000/1000</f>
        <v>0</v>
      </c>
      <c r="N41" s="17">
        <f>'Datos Actividad'!$T37*'FE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Actividad'!$T38*'FE Sectorial'!$H41*'FE Sectorial'!I41*'FE Sectorial'!P41/1000</f>
        <v>0</v>
      </c>
      <c r="I42" s="17">
        <f>'Datos Actividad'!$T38*'FE Sectorial'!$H41*'FE Sectorial'!J41/1000/1000</f>
        <v>0</v>
      </c>
      <c r="J42" s="17">
        <f>'Datos Actividad'!$T38*'FE Sectorial'!$H41*'FE Sectorial'!K41/1000/1000</f>
        <v>0</v>
      </c>
      <c r="K42" s="17">
        <f>'Datos Actividad'!$T38*'FE Sectorial'!$H41*'FE Sectorial'!L41/1000/1000</f>
        <v>0</v>
      </c>
      <c r="L42" s="17">
        <f>'Datos Actividad'!$T38*'FE Sectorial'!$H41*'FE Sectorial'!M41/1000/1000</f>
        <v>0</v>
      </c>
      <c r="M42" s="17">
        <f>'Datos Actividad'!$T38*'FE Sectorial'!$H41*'FE Sectorial'!N41/1000/1000</f>
        <v>0</v>
      </c>
      <c r="N42" s="17">
        <f>'Datos Actividad'!$T38*'FE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Actividad'!$T39*'FE Sectorial'!$H42*'FE Sectorial'!I42*'FE Sectorial'!P42/1000</f>
        <v>2007257.195723684</v>
      </c>
      <c r="I43" s="17">
        <f>'Datos Actividad'!$T39*'FE Sectorial'!$H42*'FE Sectorial'!J42/1000/1000</f>
        <v>21.007401315789473</v>
      </c>
      <c r="J43" s="17">
        <f>'Datos Actividad'!$T39*'FE Sectorial'!$H42*'FE Sectorial'!K42/1000/1000</f>
        <v>31.511101973684212</v>
      </c>
      <c r="K43" s="17">
        <f>'Datos Actividad'!$T39*'FE Sectorial'!$H42*'FE Sectorial'!L42/1000/1000</f>
        <v>6302.2203947368425</v>
      </c>
      <c r="L43" s="17">
        <f>'Datos Actividad'!$T39*'FE Sectorial'!$H42*'FE Sectorial'!M42/1000/1000</f>
        <v>3151.1101973684213</v>
      </c>
      <c r="M43" s="17">
        <f>'Datos Actividad'!$T39*'FE Sectorial'!$H42*'FE Sectorial'!N42/1000/1000</f>
        <v>420.14802631578942</v>
      </c>
      <c r="N43" s="17">
        <f>'Datos Actividad'!$T39*'FE Sectorial'!$H42*'FE Sectorial'!O42/1000/1000</f>
        <v>0</v>
      </c>
      <c r="O43" s="87">
        <f>IF(D43&lt;400,H43+I43*'Factores generales'!$M$41+J43*'Factores generales'!$N$41,I43*'Factores generales'!$M$41+J43*'Factores generales'!$N$41)</f>
        <v>2017466.7927631577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Actividad'!$T40*'FE Sectorial'!$H43*'FE Sectorial'!I43*'FE Sectorial'!P43/1000</f>
        <v>41059.958333333336</v>
      </c>
      <c r="I44" s="17">
        <f>'Datos Actividad'!$T40*'FE Sectorial'!$H43*'FE Sectorial'!J43/1000/1000</f>
        <v>0.42972222222222223</v>
      </c>
      <c r="J44" s="17">
        <f>'Datos Actividad'!$T40*'FE Sectorial'!$H43*'FE Sectorial'!K43/1000/1000</f>
        <v>0.64458333333333351</v>
      </c>
      <c r="K44" s="17">
        <f>'Datos Actividad'!$T40*'FE Sectorial'!$H43*'FE Sectorial'!L43/1000/1000</f>
        <v>128.91666666666669</v>
      </c>
      <c r="L44" s="17">
        <f>'Datos Actividad'!$T40*'FE Sectorial'!$H43*'FE Sectorial'!M43/1000/1000</f>
        <v>64.458333333333343</v>
      </c>
      <c r="M44" s="17">
        <f>'Datos Actividad'!$T40*'FE Sectorial'!$H43*'FE Sectorial'!N43/1000/1000</f>
        <v>8.5944444444444432</v>
      </c>
      <c r="N44" s="17">
        <f>'Datos Actividad'!$T40*'FE Sectorial'!$H43*'FE Sectorial'!O43/1000/1000</f>
        <v>0</v>
      </c>
      <c r="O44" s="87">
        <f>IF(D44&lt;400,H44+I44*'Factores generales'!$M$41+J44*'Factores generales'!$N$41,I44*'Factores generales'!$M$41+J44*'Factores generales'!$N$41)</f>
        <v>41268.803333333337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440323.12853971211</v>
      </c>
      <c r="I45" s="134">
        <f t="shared" ref="I45:O45" si="12">I46</f>
        <v>7.888338816000001</v>
      </c>
      <c r="J45" s="134">
        <f t="shared" si="12"/>
        <v>0.78883388160000012</v>
      </c>
      <c r="K45" s="134">
        <f t="shared" si="12"/>
        <v>1183.2508224000005</v>
      </c>
      <c r="L45" s="134">
        <f t="shared" si="12"/>
        <v>236.65016448000003</v>
      </c>
      <c r="M45" s="134">
        <f t="shared" si="12"/>
        <v>39.441694080000005</v>
      </c>
      <c r="N45" s="134">
        <f t="shared" si="12"/>
        <v>0</v>
      </c>
      <c r="O45" s="134">
        <f t="shared" si="12"/>
        <v>440733.32215814409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Actividad'!$T42*'FE Sectorial'!$H45*'FE Sectorial'!I45*'FE Sectorial'!P45/1000</f>
        <v>440323.12853971211</v>
      </c>
      <c r="I46" s="17">
        <f>'Datos Actividad'!$T42*'FE Sectorial'!$H45*'FE Sectorial'!J45/1000/1000</f>
        <v>7.888338816000001</v>
      </c>
      <c r="J46" s="17">
        <f>'Datos Actividad'!$T42*'FE Sectorial'!$H45*'FE Sectorial'!K45/1000/1000</f>
        <v>0.78883388160000012</v>
      </c>
      <c r="K46" s="17">
        <f>'Datos Actividad'!$T42*'FE Sectorial'!$H45*'FE Sectorial'!L45/1000/1000</f>
        <v>1183.2508224000005</v>
      </c>
      <c r="L46" s="17">
        <f>'Datos Actividad'!$T42*'FE Sectorial'!$H45*'FE Sectorial'!M45/1000/1000</f>
        <v>236.65016448000003</v>
      </c>
      <c r="M46" s="17">
        <f>'Datos Actividad'!$T42*'FE Sectorial'!$H45*'FE Sectorial'!N45/1000/1000</f>
        <v>39.441694080000005</v>
      </c>
      <c r="N46" s="17">
        <f>'Datos Actividad'!$T42*'FE Sectorial'!$H45*'FE Sectorial'!O45/1000/1000</f>
        <v>0</v>
      </c>
      <c r="O46" s="87">
        <f>IF(D46&lt;400,H46+I46*'Factores generales'!$M$41+J46*'Factores generales'!$N$41,I46*'Factores generales'!$M$41+J46*'Factores generales'!$N$41)</f>
        <v>440733.32215814409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1040393.1305188845</v>
      </c>
      <c r="I47" s="134">
        <f t="shared" ref="I47:O47" si="13">SUM(I48:I55)</f>
        <v>157.10745220543262</v>
      </c>
      <c r="J47" s="134">
        <f t="shared" si="13"/>
        <v>21.381270893848569</v>
      </c>
      <c r="K47" s="134">
        <f t="shared" si="13"/>
        <v>3480.7990932715379</v>
      </c>
      <c r="L47" s="134">
        <f t="shared" si="13"/>
        <v>19038.243703409433</v>
      </c>
      <c r="M47" s="134">
        <f t="shared" si="13"/>
        <v>337.98930619663236</v>
      </c>
      <c r="N47" s="134">
        <f t="shared" si="13"/>
        <v>0</v>
      </c>
      <c r="O47" s="134">
        <f t="shared" si="13"/>
        <v>1123989.3921172919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Actividad'!$T44*'FE Sectorial'!$H47*'FE Sectorial'!I47*'FE Sectorial'!P47/1000</f>
        <v>963345.68981010886</v>
      </c>
      <c r="I48" s="17">
        <f>'Datos Actividad'!$T44*'FE Sectorial'!$H47*'FE Sectorial'!J47/1000/1000</f>
        <v>17.258228572633378</v>
      </c>
      <c r="J48" s="17">
        <f>'Datos Actividad'!$T44*'FE Sectorial'!$H47*'FE Sectorial'!K47/1000/1000</f>
        <v>1.7258228572633376</v>
      </c>
      <c r="K48" s="17">
        <f>'Datos Actividad'!$T44*'FE Sectorial'!$H47*'FE Sectorial'!L47/1000/1000</f>
        <v>2588.7342858950069</v>
      </c>
      <c r="L48" s="17">
        <f>'Datos Actividad'!$T44*'FE Sectorial'!$H47*'FE Sectorial'!M47/1000/1000</f>
        <v>517.74685717900127</v>
      </c>
      <c r="M48" s="17">
        <f>'Datos Actividad'!$T44*'FE Sectorial'!$H47*'FE Sectorial'!N47/1000/1000</f>
        <v>86.291142863166897</v>
      </c>
      <c r="N48" s="17">
        <f>'Datos Actividad'!$T44*'FE Sectorial'!$H47*'FE Sectorial'!O47/1000/1000</f>
        <v>0</v>
      </c>
      <c r="O48" s="87">
        <f>IF(D48&lt;400,H48+I48*'Factores generales'!$M$41+J48*'Factores generales'!$N$41,I48*'Factores generales'!$M$41+J48*'Factores generales'!$N$41)</f>
        <v>964243.11769588583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Actividad'!$T45*'FE Sectorial'!$H48*'FE Sectorial'!I48*'FE Sectorial'!P48/1000</f>
        <v>77047.440708775684</v>
      </c>
      <c r="I49" s="17">
        <f>'Datos Actividad'!$T45*'FE Sectorial'!$H48*'FE Sectorial'!J48/1000/1000</f>
        <v>1.3443509336400001</v>
      </c>
      <c r="J49" s="17">
        <f>'Datos Actividad'!$T45*'FE Sectorial'!$H48*'FE Sectorial'!K48/1000/1000</f>
        <v>0.13443509336400003</v>
      </c>
      <c r="K49" s="17">
        <f>'Datos Actividad'!$T45*'FE Sectorial'!$H48*'FE Sectorial'!L48/1000/1000</f>
        <v>201.65264004600004</v>
      </c>
      <c r="L49" s="17">
        <f>'Datos Actividad'!$T45*'FE Sectorial'!$H48*'FE Sectorial'!M48/1000/1000</f>
        <v>40.330528009200009</v>
      </c>
      <c r="M49" s="17">
        <f>'Datos Actividad'!$T45*'FE Sectorial'!$H48*'FE Sectorial'!N48/1000/1000</f>
        <v>6.7217546682000009</v>
      </c>
      <c r="N49" s="17">
        <f>'Datos Actividad'!$T45*'FE Sectorial'!$H48*'FE Sectorial'!O48/1000/1000</f>
        <v>0</v>
      </c>
      <c r="O49" s="87">
        <f>IF(D49&lt;400,H49+I49*'Factores generales'!$M$41+J49*'Factores generales'!$N$41,I49*'Factores generales'!$M$41+J49*'Factores generales'!$N$41)</f>
        <v>77117.34695732496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Actividad'!$T46*'FE Sectorial'!$H49*'FE Sectorial'!I49*'FE Sectorial'!P49/1000</f>
        <v>0</v>
      </c>
      <c r="I50" s="17">
        <f>'Datos Actividad'!$T46*'FE Sectorial'!$H49*'FE Sectorial'!J49/1000/1000</f>
        <v>0</v>
      </c>
      <c r="J50" s="17">
        <f>'Datos Actividad'!$T46*'FE Sectorial'!$H49*'FE Sectorial'!K49/1000/1000</f>
        <v>0</v>
      </c>
      <c r="K50" s="17">
        <f>'Datos Actividad'!$T46*'FE Sectorial'!$H49*'FE Sectorial'!L49/1000/1000</f>
        <v>0</v>
      </c>
      <c r="L50" s="17">
        <f>'Datos Actividad'!$T46*'FE Sectorial'!$H49*'FE Sectorial'!M49/1000/1000</f>
        <v>0</v>
      </c>
      <c r="M50" s="17">
        <f>'Datos Actividad'!$T46*'FE Sectorial'!$H49*'FE Sectorial'!N49/1000/1000</f>
        <v>0</v>
      </c>
      <c r="N50" s="17">
        <f>'Datos Actividad'!$T46*'FE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Actividad'!$T47*'FE Sectorial'!$H50*'FE Sectorial'!I50*'FE Sectorial'!P50/1000</f>
        <v>0</v>
      </c>
      <c r="I51" s="17">
        <f>'Datos Actividad'!$T47*'FE Sectorial'!$H50*'FE Sectorial'!J50/1000/1000</f>
        <v>0</v>
      </c>
      <c r="J51" s="17">
        <f>'Datos Actividad'!$T47*'FE Sectorial'!$H50*'FE Sectorial'!K50/1000/1000</f>
        <v>0</v>
      </c>
      <c r="K51" s="17">
        <f>'Datos Actividad'!$T47*'FE Sectorial'!$H50*'FE Sectorial'!L50/1000/1000</f>
        <v>0</v>
      </c>
      <c r="L51" s="17">
        <f>'Datos Actividad'!$T47*'FE Sectorial'!$H50*'FE Sectorial'!M50/1000/1000</f>
        <v>0</v>
      </c>
      <c r="M51" s="17">
        <f>'Datos Actividad'!$T47*'FE Sectorial'!$H50*'FE Sectorial'!N50/1000/1000</f>
        <v>0</v>
      </c>
      <c r="N51" s="17">
        <f>'Datos Actividad'!$T47*'FE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Actividad'!$T48*'FE Sectorial'!$H51*'FE Sectorial'!I51*'FE Sectorial'!P51/1000</f>
        <v>0</v>
      </c>
      <c r="I52" s="17">
        <f>'Datos Actividad'!$T48*'FE Sectorial'!$H51*'FE Sectorial'!J51/1000/1000</f>
        <v>0</v>
      </c>
      <c r="J52" s="17">
        <f>'Datos Actividad'!$T48*'FE Sectorial'!$H51*'FE Sectorial'!K51/1000/1000</f>
        <v>0</v>
      </c>
      <c r="K52" s="17">
        <f>'Datos Actividad'!$T48*'FE Sectorial'!$H51*'FE Sectorial'!L51/1000/1000</f>
        <v>0</v>
      </c>
      <c r="L52" s="17">
        <f>'Datos Actividad'!$T48*'FE Sectorial'!$H51*'FE Sectorial'!M51/1000/1000</f>
        <v>0</v>
      </c>
      <c r="M52" s="17">
        <f>'Datos Actividad'!$T48*'FE Sectorial'!$H51*'FE Sectorial'!N51/1000/1000</f>
        <v>0</v>
      </c>
      <c r="N52" s="17">
        <f>'Datos Actividad'!$T48*'FE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Actividad'!$T49*'FE Sectorial'!$H52*'FE Sectorial'!I52*'FE Sectorial'!P52/1000</f>
        <v>399428.23807756178</v>
      </c>
      <c r="I53" s="17">
        <f>'Datos Actividad'!$T49*'FE Sectorial'!$H52*'FE Sectorial'!J52/1000/1000</f>
        <v>137.73387519915926</v>
      </c>
      <c r="J53" s="17">
        <f>'Datos Actividad'!$T49*'FE Sectorial'!$H52*'FE Sectorial'!K52/1000/1000</f>
        <v>18.364516693221233</v>
      </c>
      <c r="K53" s="17">
        <f>'Datos Actividad'!$T49*'FE Sectorial'!$H52*'FE Sectorial'!L52/1000/1000</f>
        <v>459.11291733053082</v>
      </c>
      <c r="L53" s="17">
        <f>'Datos Actividad'!$T49*'FE Sectorial'!$H52*'FE Sectorial'!M52/1000/1000</f>
        <v>18364.516693221234</v>
      </c>
      <c r="M53" s="17">
        <f>'Datos Actividad'!$T49*'FE Sectorial'!$H52*'FE Sectorial'!N52/1000/1000</f>
        <v>229.55645866526541</v>
      </c>
      <c r="N53" s="17">
        <f>'Datos Actividad'!$T49*'FE Sectorial'!$H52*'FE Sectorial'!O52/1000/1000</f>
        <v>0</v>
      </c>
      <c r="O53" s="87">
        <f>IF(D53&lt;400,H53+I53*'Factores generales'!$M$41+J53*'Factores generales'!$N$41,I53*'Factores generales'!$M$41+J53*'Factores generales'!$N$41)</f>
        <v>8585.4115540809271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Actividad'!$T50*'FE Sectorial'!$H53*'FE Sectorial'!I53*'FE Sectorial'!P53/1000</f>
        <v>73668.811124999993</v>
      </c>
      <c r="I54" s="17">
        <f>'Datos Actividad'!$T50*'FE Sectorial'!$H53*'FE Sectorial'!J53/1000/1000</f>
        <v>0.77099749999999989</v>
      </c>
      <c r="J54" s="17">
        <f>'Datos Actividad'!$T50*'FE Sectorial'!$H53*'FE Sectorial'!K53/1000/1000</f>
        <v>1.1564962500000002</v>
      </c>
      <c r="K54" s="17">
        <f>'Datos Actividad'!$T50*'FE Sectorial'!$H53*'FE Sectorial'!L53/1000/1000</f>
        <v>231.29925</v>
      </c>
      <c r="L54" s="17">
        <f>'Datos Actividad'!$T50*'FE Sectorial'!$H53*'FE Sectorial'!M53/1000/1000</f>
        <v>115.649625</v>
      </c>
      <c r="M54" s="17">
        <f>'Datos Actividad'!$T50*'FE Sectorial'!$H53*'FE Sectorial'!N53/1000/1000</f>
        <v>15.41995</v>
      </c>
      <c r="N54" s="17">
        <f>'Datos Actividad'!$T50*'FE Sectorial'!$H53*'FE Sectorial'!O53/1000/1000</f>
        <v>0</v>
      </c>
      <c r="O54" s="87">
        <f>IF(D54&lt;400,H54+I54*'Factores generales'!$M$41+J54*'Factores generales'!$N$41,I54*'Factores generales'!$M$41+J54*'Factores generales'!$N$41)</f>
        <v>74043.515909999987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Actividad'!$T51*'FE Sectorial'!$H54*'FE Sectorial'!I54*'FE Sectorial'!P54/1000</f>
        <v>0</v>
      </c>
      <c r="I55" s="17">
        <f>'Datos Actividad'!$T51*'FE Sectorial'!$H54*'FE Sectorial'!J54/1000/1000</f>
        <v>0</v>
      </c>
      <c r="J55" s="17">
        <f>'Datos Actividad'!$T51*'FE Sectorial'!$H54*'FE Sectorial'!K54/1000/1000</f>
        <v>0</v>
      </c>
      <c r="K55" s="17">
        <f>'Datos Actividad'!$T51*'FE Sectorial'!$H54*'FE Sectorial'!L54/1000/1000</f>
        <v>0</v>
      </c>
      <c r="L55" s="17">
        <f>'Datos Actividad'!$T51*'FE Sectorial'!$H54*'FE Sectorial'!M54/1000/1000</f>
        <v>0</v>
      </c>
      <c r="M55" s="17">
        <f>'Datos Actividad'!$T51*'FE Sectorial'!$H54*'FE Sectorial'!N54/1000/1000</f>
        <v>0</v>
      </c>
      <c r="N55" s="17">
        <f>'Datos Actividad'!$T51*'FE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757904.89428244822</v>
      </c>
      <c r="I56" s="134">
        <f>SUM(I57:I62)</f>
        <v>549.07721178315933</v>
      </c>
      <c r="J56" s="134">
        <f t="shared" ref="J56:O56" si="14">SUM(J57:J62)</f>
        <v>72.757702235621224</v>
      </c>
      <c r="K56" s="134">
        <f t="shared" si="14"/>
        <v>3821.6651153305311</v>
      </c>
      <c r="L56" s="134">
        <f t="shared" si="14"/>
        <v>66736.34378314123</v>
      </c>
      <c r="M56" s="134">
        <f t="shared" si="14"/>
        <v>960.38795318526547</v>
      </c>
      <c r="N56" s="134">
        <f t="shared" si="14"/>
        <v>650.11716000000001</v>
      </c>
      <c r="O56" s="134">
        <f t="shared" si="14"/>
        <v>791990.40342293726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Actividad'!$T53*'FE Sectorial'!$H56*'FE Sectorial'!I56*'FE Sectorial'!P56/1000</f>
        <v>757904.89428244822</v>
      </c>
      <c r="I57" s="17">
        <f>'Datos Actividad'!$T53*'FE Sectorial'!$H56*'FE Sectorial'!J56/1000/1000</f>
        <v>13.577780064000002</v>
      </c>
      <c r="J57" s="17">
        <f>'Datos Actividad'!$T53*'FE Sectorial'!$H56*'FE Sectorial'!K56/1000/1000</f>
        <v>1.3577780064000002</v>
      </c>
      <c r="K57" s="17">
        <f>'Datos Actividad'!$T53*'FE Sectorial'!$H56*'FE Sectorial'!L56/1000/1000</f>
        <v>2036.6670096000005</v>
      </c>
      <c r="L57" s="17">
        <f>'Datos Actividad'!$T53*'FE Sectorial'!$H56*'FE Sectorial'!M56/1000/1000</f>
        <v>407.33340192000009</v>
      </c>
      <c r="M57" s="17">
        <f>'Datos Actividad'!$T53*'FE Sectorial'!$H56*'FE Sectorial'!N56/1000/1000</f>
        <v>67.888900320000033</v>
      </c>
      <c r="N57" s="17">
        <f>'Datos Actividad'!$T53*'FE Sectorial'!$H56*'FE Sectorial'!O56/1000/1000</f>
        <v>0</v>
      </c>
      <c r="O57" s="87">
        <f>IF(D57&lt;400,H57+I57*'Factores generales'!$M$41+J57*'Factores generales'!$N$41,I57*'Factores generales'!$M$41+J57*'Factores generales'!$N$41)</f>
        <v>758610.93884577625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Actividad'!$T54*'FE Sectorial'!$H57*'FE Sectorial'!I57*'FE Sectorial'!P57/1000</f>
        <v>0</v>
      </c>
      <c r="I58" s="17">
        <f>'Datos Actividad'!$T54*'FE Sectorial'!$H57*'FE Sectorial'!J57/1000/1000</f>
        <v>0</v>
      </c>
      <c r="J58" s="17">
        <f>'Datos Actividad'!$T54*'FE Sectorial'!$H57*'FE Sectorial'!K57/1000/1000</f>
        <v>0</v>
      </c>
      <c r="K58" s="17">
        <f>'Datos Actividad'!$T54*'FE Sectorial'!$H57*'FE Sectorial'!L57/1000/1000</f>
        <v>0</v>
      </c>
      <c r="L58" s="17">
        <f>'Datos Actividad'!$T54*'FE Sectorial'!$H57*'FE Sectorial'!M57/1000/1000</f>
        <v>0</v>
      </c>
      <c r="M58" s="17">
        <f>'Datos Actividad'!$T54*'FE Sectorial'!$H57*'FE Sectorial'!N57/1000/1000</f>
        <v>0</v>
      </c>
      <c r="N58" s="17">
        <f>'Datos Actividad'!$T54*'FE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Actividad'!$T55*'FE Sectorial'!$H58*'FE Sectorial'!I58*'FE Sectorial'!P58/1000</f>
        <v>0</v>
      </c>
      <c r="I59" s="17">
        <f>'Datos Actividad'!$T55*'FE Sectorial'!$H58*'FE Sectorial'!J58/1000/1000</f>
        <v>0</v>
      </c>
      <c r="J59" s="17">
        <f>'Datos Actividad'!$T55*'FE Sectorial'!$H58*'FE Sectorial'!K58/1000/1000</f>
        <v>0</v>
      </c>
      <c r="K59" s="17">
        <f>'Datos Actividad'!$T55*'FE Sectorial'!$H58*'FE Sectorial'!L58/1000/1000</f>
        <v>0</v>
      </c>
      <c r="L59" s="17">
        <f>'Datos Actividad'!$T55*'FE Sectorial'!$H58*'FE Sectorial'!M58/1000/1000</f>
        <v>0</v>
      </c>
      <c r="M59" s="17">
        <f>'Datos Actividad'!$T55*'FE Sectorial'!$H58*'FE Sectorial'!N58/1000/1000</f>
        <v>0</v>
      </c>
      <c r="N59" s="17">
        <f>'Datos Actividad'!$T55*'FE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Actividad'!$T56*'FE Sectorial'!$H59*'FE Sectorial'!I59*'FE Sectorial'!P59/1000</f>
        <v>798967.08912000002</v>
      </c>
      <c r="I60" s="17">
        <f>'Datos Actividad'!$T56*'FE Sectorial'!$H59*'FE Sectorial'!J59/1000/1000</f>
        <v>275.50589280000003</v>
      </c>
      <c r="J60" s="17">
        <f>'Datos Actividad'!$T56*'FE Sectorial'!$H59*'FE Sectorial'!K59/1000/1000</f>
        <v>36.734119039999996</v>
      </c>
      <c r="K60" s="17">
        <f>'Datos Actividad'!$T56*'FE Sectorial'!$H59*'FE Sectorial'!L59/1000/1000</f>
        <v>918.35297600000001</v>
      </c>
      <c r="L60" s="17">
        <f>'Datos Actividad'!$T56*'FE Sectorial'!$H59*'FE Sectorial'!M59/1000/1000</f>
        <v>36734.119039999998</v>
      </c>
      <c r="M60" s="17">
        <f>'Datos Actividad'!$T56*'FE Sectorial'!$H59*'FE Sectorial'!N59/1000/1000</f>
        <v>459.17648800000001</v>
      </c>
      <c r="N60" s="17">
        <f>'Datos Actividad'!$T56*'FE Sectorial'!$H59*'FE Sectorial'!O59/1000/1000</f>
        <v>0</v>
      </c>
      <c r="O60" s="87">
        <f>IF(D60&lt;400,H60+I60*'Factores generales'!$M$41+J60*'Factores generales'!$N$41,I60*'Factores generales'!$M$41+J60*'Factores generales'!$N$41)</f>
        <v>17173.200651200001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Actividad'!$T57*'FE Sectorial'!$H60*'FE Sectorial'!I60*'FE Sectorial'!P60/1000</f>
        <v>247054.92267456005</v>
      </c>
      <c r="I61" s="17">
        <f>'Datos Actividad'!$T57*'FE Sectorial'!$H60*'FE Sectorial'!J60/1000/1000</f>
        <v>76.063707720000011</v>
      </c>
      <c r="J61" s="17">
        <f>'Datos Actividad'!$T57*'FE Sectorial'!$H60*'FE Sectorial'!K60/1000/1000</f>
        <v>10.141827696</v>
      </c>
      <c r="K61" s="17">
        <f>'Datos Actividad'!$T57*'FE Sectorial'!$H60*'FE Sectorial'!L60/1000/1000</f>
        <v>253.54569240000001</v>
      </c>
      <c r="L61" s="17">
        <f>'Datos Actividad'!$T57*'FE Sectorial'!$H60*'FE Sectorial'!M60/1000/1000</f>
        <v>5070.9138480000001</v>
      </c>
      <c r="M61" s="17">
        <f>'Datos Actividad'!$T57*'FE Sectorial'!$H60*'FE Sectorial'!N60/1000/1000</f>
        <v>126.7728462</v>
      </c>
      <c r="N61" s="17">
        <f>'Datos Actividad'!$T57*'FE Sectorial'!$H60*'FE Sectorial'!O60/1000/1000</f>
        <v>650.11716000000001</v>
      </c>
      <c r="O61" s="87">
        <f>IF(D61&lt;400,H61+I61*'Factores generales'!$M$41+J61*'Factores generales'!$N$41,I61*'Factores generales'!$M$41+J61*'Factores generales'!$N$41)</f>
        <v>4741.3044478800002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Actividad'!$T58*'FE Sectorial'!$H61*'FE Sectorial'!I61*'FE Sectorial'!P61/1000</f>
        <v>533396.51047756197</v>
      </c>
      <c r="I62" s="17">
        <f>'Datos Actividad'!$T58*'FE Sectorial'!$H61*'FE Sectorial'!J61/1000/1000</f>
        <v>183.92983119915928</v>
      </c>
      <c r="J62" s="17">
        <f>'Datos Actividad'!$T58*'FE Sectorial'!$H61*'FE Sectorial'!K61/1000/1000</f>
        <v>24.523977493221238</v>
      </c>
      <c r="K62" s="17">
        <f>'Datos Actividad'!$T58*'FE Sectorial'!$H61*'FE Sectorial'!L61/1000/1000</f>
        <v>613.09943733053092</v>
      </c>
      <c r="L62" s="17">
        <f>'Datos Actividad'!$T58*'FE Sectorial'!$H61*'FE Sectorial'!M61/1000/1000</f>
        <v>24523.977493221239</v>
      </c>
      <c r="M62" s="17">
        <f>'Datos Actividad'!$T58*'FE Sectorial'!$H61*'FE Sectorial'!N61/1000/1000</f>
        <v>306.54971866526546</v>
      </c>
      <c r="N62" s="17">
        <f>'Datos Actividad'!$T58*'FE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11464.959478080928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2193503.392977336</v>
      </c>
      <c r="I63" s="134">
        <f>SUM(I64:I69)</f>
        <v>1753.5063907271588</v>
      </c>
      <c r="J63" s="134">
        <f t="shared" ref="J63:O63" si="15">SUM(J64:J69)</f>
        <v>232.49097329535456</v>
      </c>
      <c r="K63" s="134">
        <f t="shared" si="15"/>
        <v>11608.488029463862</v>
      </c>
      <c r="L63" s="134">
        <f t="shared" si="15"/>
        <v>229689.00645999456</v>
      </c>
      <c r="M63" s="134">
        <f t="shared" si="15"/>
        <v>3053.4985313719317</v>
      </c>
      <c r="N63" s="134">
        <f t="shared" si="15"/>
        <v>6.56684</v>
      </c>
      <c r="O63" s="134">
        <f t="shared" si="15"/>
        <v>2302399.2289041663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Actividad'!$T60*'FE Sectorial'!$H63*'FE Sectorial'!I63*'FE Sectorial'!P63/1000</f>
        <v>2193503.392977336</v>
      </c>
      <c r="I64" s="17">
        <f>'Datos Actividad'!$T60*'FE Sectorial'!$H63*'FE Sectorial'!J63/1000/1000</f>
        <v>39.296364048000001</v>
      </c>
      <c r="J64" s="17">
        <f>'Datos Actividad'!$T60*'FE Sectorial'!$H63*'FE Sectorial'!K63/1000/1000</f>
        <v>3.9296364048000001</v>
      </c>
      <c r="K64" s="17">
        <f>'Datos Actividad'!$T60*'FE Sectorial'!$H63*'FE Sectorial'!L63/1000/1000</f>
        <v>5894.4546071999994</v>
      </c>
      <c r="L64" s="17">
        <f>'Datos Actividad'!$T60*'FE Sectorial'!$H63*'FE Sectorial'!M63/1000/1000</f>
        <v>1178.8909214400001</v>
      </c>
      <c r="M64" s="17">
        <f>'Datos Actividad'!$T60*'FE Sectorial'!$H63*'FE Sectorial'!N63/1000/1000</f>
        <v>196.48182023999999</v>
      </c>
      <c r="N64" s="17">
        <f>'Datos Actividad'!$T60*'FE Sectorial'!$H63*'FE Sectorial'!O63/1000/1000</f>
        <v>0</v>
      </c>
      <c r="O64" s="87">
        <f>IF(D64&lt;400,H64+I64*'Factores generales'!$M$41+J64*'Factores generales'!$N$41,I64*'Factores generales'!$M$41+J64*'Factores generales'!$N$41)</f>
        <v>2195546.8039078321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Actividad'!$T61*'FE Sectorial'!$H64*'FE Sectorial'!I64*'FE Sectorial'!P64/1000</f>
        <v>0</v>
      </c>
      <c r="I65" s="17">
        <f>'Datos Actividad'!$T61*'FE Sectorial'!$H64*'FE Sectorial'!J64/1000/1000</f>
        <v>0</v>
      </c>
      <c r="J65" s="17">
        <f>'Datos Actividad'!$T61*'FE Sectorial'!$H64*'FE Sectorial'!K64/1000/1000</f>
        <v>0</v>
      </c>
      <c r="K65" s="17">
        <f>'Datos Actividad'!$T61*'FE Sectorial'!$H64*'FE Sectorial'!L64/1000/1000</f>
        <v>0</v>
      </c>
      <c r="L65" s="17">
        <f>'Datos Actividad'!$T61*'FE Sectorial'!$H64*'FE Sectorial'!M64/1000/1000</f>
        <v>0</v>
      </c>
      <c r="M65" s="17">
        <f>'Datos Actividad'!$T61*'FE Sectorial'!$H64*'FE Sectorial'!N64/1000/1000</f>
        <v>0</v>
      </c>
      <c r="N65" s="17">
        <f>'Datos Actividad'!$T61*'FE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Actividad'!$T62*'FE Sectorial'!$H65*'FE Sectorial'!I65*'FE Sectorial'!P65/1000</f>
        <v>0</v>
      </c>
      <c r="I66" s="17">
        <f>'Datos Actividad'!$T62*'FE Sectorial'!$H65*'FE Sectorial'!J65/1000/1000</f>
        <v>0</v>
      </c>
      <c r="J66" s="17">
        <f>'Datos Actividad'!$T62*'FE Sectorial'!$H65*'FE Sectorial'!K65/1000/1000</f>
        <v>0</v>
      </c>
      <c r="K66" s="17">
        <f>'Datos Actividad'!$T62*'FE Sectorial'!$H65*'FE Sectorial'!L65/1000/1000</f>
        <v>0</v>
      </c>
      <c r="L66" s="17">
        <f>'Datos Actividad'!$T62*'FE Sectorial'!$H65*'FE Sectorial'!M65/1000/1000</f>
        <v>0</v>
      </c>
      <c r="M66" s="17">
        <f>'Datos Actividad'!$T62*'FE Sectorial'!$H65*'FE Sectorial'!N65/1000/1000</f>
        <v>0</v>
      </c>
      <c r="N66" s="17">
        <f>'Datos Actividad'!$T62*'FE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Actividad'!$T63*'FE Sectorial'!$H66*'FE Sectorial'!I66*'FE Sectorial'!P66/1000</f>
        <v>4527480.1716799997</v>
      </c>
      <c r="I67" s="17">
        <f>'Datos Actividad'!$T63*'FE Sectorial'!$H66*'FE Sectorial'!J66/1000/1000</f>
        <v>1561.2000591999997</v>
      </c>
      <c r="J67" s="17">
        <f>'Datos Actividad'!$T63*'FE Sectorial'!$H66*'FE Sectorial'!K66/1000/1000</f>
        <v>208.16000789333333</v>
      </c>
      <c r="K67" s="17">
        <f>'Datos Actividad'!$T63*'FE Sectorial'!$H66*'FE Sectorial'!L66/1000/1000</f>
        <v>5204.0001973333328</v>
      </c>
      <c r="L67" s="17">
        <f>'Datos Actividad'!$T63*'FE Sectorial'!$H66*'FE Sectorial'!M66/1000/1000</f>
        <v>208160.00789333333</v>
      </c>
      <c r="M67" s="17">
        <f>'Datos Actividad'!$T63*'FE Sectorial'!$H66*'FE Sectorial'!N66/1000/1000</f>
        <v>2602.0000986666664</v>
      </c>
      <c r="N67" s="17">
        <f>'Datos Actividad'!$T63*'FE Sectorial'!$H66*'FE Sectorial'!O66/1000/1000</f>
        <v>0</v>
      </c>
      <c r="O67" s="87">
        <f>IF(D67&lt;400,H67+I67*'Factores generales'!$M$41+J67*'Factores generales'!$N$41,I67*'Factores generales'!$M$41+J67*'Factores generales'!$N$41)</f>
        <v>97314.803690133325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Actividad'!$T64*'FE Sectorial'!$H67*'FE Sectorial'!I67*'FE Sectorial'!P67/1000</f>
        <v>2495.5042694399999</v>
      </c>
      <c r="I68" s="17">
        <f>'Datos Actividad'!$T64*'FE Sectorial'!$H67*'FE Sectorial'!J67/1000/1000</f>
        <v>0.76832028000000008</v>
      </c>
      <c r="J68" s="17">
        <f>'Datos Actividad'!$T64*'FE Sectorial'!$H67*'FE Sectorial'!K67/1000/1000</f>
        <v>0.102442704</v>
      </c>
      <c r="K68" s="17">
        <f>'Datos Actividad'!$T64*'FE Sectorial'!$H67*'FE Sectorial'!L67/1000/1000</f>
        <v>2.5610676000000003</v>
      </c>
      <c r="L68" s="17">
        <f>'Datos Actividad'!$T64*'FE Sectorial'!$H67*'FE Sectorial'!M67/1000/1000</f>
        <v>51.221351999999996</v>
      </c>
      <c r="M68" s="17">
        <f>'Datos Actividad'!$T64*'FE Sectorial'!$H67*'FE Sectorial'!N67/1000/1000</f>
        <v>1.2805338000000002</v>
      </c>
      <c r="N68" s="17">
        <f>'Datos Actividad'!$T64*'FE Sectorial'!$H67*'FE Sectorial'!O67/1000/1000</f>
        <v>6.56684</v>
      </c>
      <c r="O68" s="87">
        <f>IF(D68&lt;400,H68+I68*'Factores generales'!$M$41+J68*'Factores generales'!$N$41,I68*'Factores generales'!$M$41+J68*'Factores generales'!$N$41)</f>
        <v>47.891964119999997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Actividad'!$T65*'FE Sectorial'!$H68*'FE Sectorial'!I68*'FE Sectorial'!P68/1000</f>
        <v>441500.77687756188</v>
      </c>
      <c r="I69" s="17">
        <f>'Datos Actividad'!$T65*'FE Sectorial'!$H68*'FE Sectorial'!J68/1000/1000</f>
        <v>152.24164719915925</v>
      </c>
      <c r="J69" s="17">
        <f>'Datos Actividad'!$T65*'FE Sectorial'!$H68*'FE Sectorial'!K68/1000/1000</f>
        <v>20.298886293221237</v>
      </c>
      <c r="K69" s="17">
        <f>'Datos Actividad'!$T65*'FE Sectorial'!$H68*'FE Sectorial'!L68/1000/1000</f>
        <v>507.47215733053088</v>
      </c>
      <c r="L69" s="17">
        <f>'Datos Actividad'!$T65*'FE Sectorial'!$H68*'FE Sectorial'!M68/1000/1000</f>
        <v>20298.88629322124</v>
      </c>
      <c r="M69" s="17">
        <f>'Datos Actividad'!$T65*'FE Sectorial'!$H68*'FE Sectorial'!N68/1000/1000</f>
        <v>253.73607866526544</v>
      </c>
      <c r="N69" s="17">
        <f>'Datos Actividad'!$T65*'FE Sectorial'!$H68*'FE Sectorial'!O68/1000/1000</f>
        <v>0</v>
      </c>
      <c r="O69" s="87">
        <f>IF(D69&lt;400,H69+I69*'Factores generales'!$M$41+J69*'Factores generales'!$N$41,I69*'Factores generales'!$M$41+J69*'Factores generales'!$N$41)</f>
        <v>9489.7293420809274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9803315.3640598059</v>
      </c>
      <c r="I70" s="134">
        <f t="shared" si="16"/>
        <v>440.41062857863568</v>
      </c>
      <c r="J70" s="134">
        <f t="shared" si="16"/>
        <v>70.425879450465814</v>
      </c>
      <c r="K70" s="134">
        <f t="shared" si="16"/>
        <v>27249.932593916157</v>
      </c>
      <c r="L70" s="134">
        <f t="shared" si="16"/>
        <v>28554.448056878038</v>
      </c>
      <c r="M70" s="134">
        <f t="shared" si="16"/>
        <v>1279.9434358467113</v>
      </c>
      <c r="N70" s="134">
        <f t="shared" si="16"/>
        <v>6246.6156216054897</v>
      </c>
      <c r="O70" s="134">
        <f t="shared" si="16"/>
        <v>9834396.0098896008</v>
      </c>
    </row>
    <row r="71" spans="1:15" outlineLevel="1" x14ac:dyDescent="0.25">
      <c r="B71" s="1" t="s">
        <v>36</v>
      </c>
      <c r="G71" s="1"/>
      <c r="H71" s="15">
        <f>H72+H73+H74+H76</f>
        <v>3219688.153959678</v>
      </c>
      <c r="I71" s="15">
        <f>SUM(I72:I76)</f>
        <v>146.07555399038858</v>
      </c>
      <c r="J71" s="15">
        <f t="shared" ref="J71:O71" si="17">SUM(J72:J76)</f>
        <v>27.99848371198286</v>
      </c>
      <c r="K71" s="15">
        <f t="shared" si="17"/>
        <v>9283.7897035165715</v>
      </c>
      <c r="L71" s="15">
        <f t="shared" si="17"/>
        <v>8694.6319036782861</v>
      </c>
      <c r="M71" s="15">
        <f t="shared" si="17"/>
        <v>528.42343044777147</v>
      </c>
      <c r="N71" s="15">
        <f t="shared" si="17"/>
        <v>1119.6737771239427</v>
      </c>
      <c r="O71" s="15">
        <f t="shared" si="17"/>
        <v>3231435.2705441909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Actividad'!$T68*'FE Sectorial'!$H71*'FE Sectorial'!I71*'FE Sectorial'!P71/1000</f>
        <v>2519646.2695633685</v>
      </c>
      <c r="I72" s="17">
        <f>'Datos Actividad'!$T68*'FE Sectorial'!$H71*'FE Sectorial'!J71/1000/1000</f>
        <v>45.139176624000008</v>
      </c>
      <c r="J72" s="17">
        <f>'Datos Actividad'!$T68*'FE Sectorial'!$H71*'FE Sectorial'!K71/1000/1000</f>
        <v>4.5139176624000008</v>
      </c>
      <c r="K72" s="17">
        <f>'Datos Actividad'!$T68*'FE Sectorial'!$H71*'FE Sectorial'!L71/1000/1000</f>
        <v>6770.8764936000007</v>
      </c>
      <c r="L72" s="17">
        <f>'Datos Actividad'!$T68*'FE Sectorial'!$H71*'FE Sectorial'!M71/1000/1000</f>
        <v>1354.1752987200002</v>
      </c>
      <c r="M72" s="17">
        <f>'Datos Actividad'!$T68*'FE Sectorial'!$H71*'FE Sectorial'!N71/1000/1000</f>
        <v>225.69588312000005</v>
      </c>
      <c r="N72" s="17">
        <f>'Datos Actividad'!$T68*'FE Sectorial'!$H71*'FE Sectorial'!O71/1000/1000</f>
        <v>0</v>
      </c>
      <c r="O72" s="87">
        <f>IF(D72&lt;400,H72+I72*'Factores generales'!$M$41+J72*'Factores generales'!$N$41,I72*'Factores generales'!$M$41+J72*'Factores generales'!$N$41)</f>
        <v>2521993.5067478167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Actividad'!$T69*'FE Sectorial'!$H72*'FE Sectorial'!I72*'FE Sectorial'!P72/1000</f>
        <v>0</v>
      </c>
      <c r="I73" s="17">
        <f>'Datos Actividad'!$T69*'FE Sectorial'!$H72*'FE Sectorial'!J72/1000/1000</f>
        <v>0</v>
      </c>
      <c r="J73" s="17">
        <f>'Datos Actividad'!$T69*'FE Sectorial'!$H72*'FE Sectorial'!K72/1000/1000</f>
        <v>0</v>
      </c>
      <c r="K73" s="17">
        <f>'Datos Actividad'!$T69*'FE Sectorial'!$H72*'FE Sectorial'!L72/1000/1000</f>
        <v>0</v>
      </c>
      <c r="L73" s="17">
        <f>'Datos Actividad'!$T69*'FE Sectorial'!$H72*'FE Sectorial'!M72/1000/1000</f>
        <v>0</v>
      </c>
      <c r="M73" s="17">
        <f>'Datos Actividad'!$T69*'FE Sectorial'!$H72*'FE Sectorial'!N72/1000/1000</f>
        <v>0</v>
      </c>
      <c r="N73" s="17">
        <f>'Datos Actividad'!$T69*'FE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Actividad'!$T70*'FE Sectorial'!$H73*'FE Sectorial'!I73*'FE Sectorial'!P73/1000</f>
        <v>669085.73190789483</v>
      </c>
      <c r="I74" s="17">
        <f>'Datos Actividad'!$T70*'FE Sectorial'!$H73*'FE Sectorial'!J73/1000/1000</f>
        <v>7.0024671052631584</v>
      </c>
      <c r="J74" s="17">
        <f>'Datos Actividad'!$T70*'FE Sectorial'!$H73*'FE Sectorial'!K73/1000/1000</f>
        <v>10.50370065789474</v>
      </c>
      <c r="K74" s="17">
        <f>'Datos Actividad'!$T70*'FE Sectorial'!$H73*'FE Sectorial'!L73/1000/1000</f>
        <v>2100.7401315789475</v>
      </c>
      <c r="L74" s="17">
        <f>'Datos Actividad'!$T70*'FE Sectorial'!$H73*'FE Sectorial'!M73/1000/1000</f>
        <v>1050.3700657894738</v>
      </c>
      <c r="M74" s="17">
        <f>'Datos Actividad'!$T70*'FE Sectorial'!$H73*'FE Sectorial'!N73/1000/1000</f>
        <v>140.04934210526318</v>
      </c>
      <c r="N74" s="17">
        <f>'Datos Actividad'!$T70*'FE Sectorial'!$H73*'FE Sectorial'!O73/1000/1000</f>
        <v>0</v>
      </c>
      <c r="O74" s="87">
        <f>IF(D74&lt;400,H74+I74*'Factores generales'!$M$41+J74*'Factores generales'!$N$41,I74*'Factores generales'!$M$41+J74*'Factores generales'!$N$41)</f>
        <v>672488.93092105282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Actividad'!$T71*'FE Sectorial'!$H74*'FE Sectorial'!I74*'FE Sectorial'!P74/1000</f>
        <v>304012.79999999999</v>
      </c>
      <c r="I75" s="17">
        <f>'Datos Actividad'!$T71*'FE Sectorial'!$H74*'FE Sectorial'!J74/1000/1000</f>
        <v>93.6</v>
      </c>
      <c r="J75" s="17">
        <f>'Datos Actividad'!$T71*'FE Sectorial'!$H74*'FE Sectorial'!K74/1000/1000</f>
        <v>12.48</v>
      </c>
      <c r="K75" s="17">
        <f>'Datos Actividad'!$T71*'FE Sectorial'!$H74*'FE Sectorial'!L74/1000/1000</f>
        <v>312</v>
      </c>
      <c r="L75" s="17">
        <f>'Datos Actividad'!$T71*'FE Sectorial'!$H74*'FE Sectorial'!M74/1000/1000</f>
        <v>6240</v>
      </c>
      <c r="M75" s="17">
        <f>'Datos Actividad'!$T71*'FE Sectorial'!$H74*'FE Sectorial'!N74/1000/1000</f>
        <v>156</v>
      </c>
      <c r="N75" s="17">
        <f>'Datos Actividad'!$T71*'FE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Actividad'!$T72*'FE Sectorial'!$H75*'FE Sectorial'!I75*'FE Sectorial'!P75/1000</f>
        <v>30956.15248841486</v>
      </c>
      <c r="I76" s="17">
        <f>'Datos Actividad'!$T72*'FE Sectorial'!$H75*'FE Sectorial'!J75/1000/1000</f>
        <v>0.33391026112541378</v>
      </c>
      <c r="J76" s="17">
        <f>'Datos Actividad'!$T72*'FE Sectorial'!$H75*'FE Sectorial'!K75/1000/1000</f>
        <v>0.50086539168812083</v>
      </c>
      <c r="K76" s="17">
        <f>'Datos Actividad'!$T72*'FE Sectorial'!$H75*'FE Sectorial'!L75/1000/1000</f>
        <v>100.17307833762415</v>
      </c>
      <c r="L76" s="17">
        <f>'Datos Actividad'!$T72*'FE Sectorial'!$H75*'FE Sectorial'!M75/1000/1000</f>
        <v>50.086539168812074</v>
      </c>
      <c r="M76" s="17">
        <f>'Datos Actividad'!$T72*'FE Sectorial'!$H75*'FE Sectorial'!N75/1000/1000</f>
        <v>6.678205222508276</v>
      </c>
      <c r="N76" s="17">
        <f>'Datos Actividad'!$T72*'FE Sectorial'!$H75*'FE Sectorial'!O75/1000/1000</f>
        <v>319.67377712394267</v>
      </c>
      <c r="O76" s="87">
        <f>IF(D76&lt;400,H76+I76*'Factores generales'!$M$41+J76*'Factores generales'!$N$41,I76*'Factores generales'!$M$41+J76*'Factores generales'!$N$41)</f>
        <v>31118.432875321811</v>
      </c>
    </row>
    <row r="77" spans="1:15" outlineLevel="1" x14ac:dyDescent="0.25">
      <c r="B77" s="1" t="s">
        <v>35</v>
      </c>
      <c r="G77" s="1"/>
      <c r="H77" s="15">
        <f t="shared" ref="H77:O77" si="18">H78+H79</f>
        <v>178825.88574496805</v>
      </c>
      <c r="I77" s="15">
        <f t="shared" si="18"/>
        <v>3.2036454240000007</v>
      </c>
      <c r="J77" s="15">
        <f t="shared" si="18"/>
        <v>0.32036454240000012</v>
      </c>
      <c r="K77" s="15">
        <f t="shared" si="18"/>
        <v>480.54681360000012</v>
      </c>
      <c r="L77" s="15">
        <f t="shared" si="18"/>
        <v>96.109362720000021</v>
      </c>
      <c r="M77" s="15">
        <f t="shared" si="18"/>
        <v>16.018227120000002</v>
      </c>
      <c r="N77" s="15">
        <f t="shared" si="18"/>
        <v>0</v>
      </c>
      <c r="O77" s="15">
        <f t="shared" si="18"/>
        <v>178992.47530701605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Actividad'!$T74*'FE Sectorial'!$H77*'FE Sectorial'!I77*'FE Sectorial'!P77/1000</f>
        <v>178825.88574496805</v>
      </c>
      <c r="I78" s="17">
        <f>'Datos Actividad'!$T74*'FE Sectorial'!$H77*'FE Sectorial'!J77/1000/1000</f>
        <v>3.2036454240000007</v>
      </c>
      <c r="J78" s="17">
        <f>'Datos Actividad'!$T74*'FE Sectorial'!$H77*'FE Sectorial'!K77/1000/1000</f>
        <v>0.32036454240000012</v>
      </c>
      <c r="K78" s="17">
        <f>'Datos Actividad'!$T74*'FE Sectorial'!$H77*'FE Sectorial'!L77/1000/1000</f>
        <v>480.54681360000012</v>
      </c>
      <c r="L78" s="17">
        <f>'Datos Actividad'!$T74*'FE Sectorial'!$H77*'FE Sectorial'!M77/1000/1000</f>
        <v>96.109362720000021</v>
      </c>
      <c r="M78" s="17">
        <f>'Datos Actividad'!$T74*'FE Sectorial'!$H77*'FE Sectorial'!N77/1000/1000</f>
        <v>16.018227120000002</v>
      </c>
      <c r="N78" s="17">
        <f>'Datos Actividad'!$T74*'FE Sectorial'!$H77*'FE Sectorial'!O77/1000/1000</f>
        <v>0</v>
      </c>
      <c r="O78" s="87">
        <f>IF(D78&lt;400,H78+I78*'Factores generales'!$M$41+J78*'Factores generales'!$N$41,I78*'Factores generales'!$M$41+J78*'Factores generales'!$N$41)</f>
        <v>178992.47530701605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Actividad'!$T75*'FE Sectorial'!$H78*'FE Sectorial'!I78*'FE Sectorial'!P78/1000</f>
        <v>0</v>
      </c>
      <c r="I79" s="17">
        <f>'Datos Actividad'!$T75*'FE Sectorial'!$H78*'FE Sectorial'!J78/1000/1000</f>
        <v>0</v>
      </c>
      <c r="J79" s="17">
        <f>'Datos Actividad'!$T75*'FE Sectorial'!$H78*'FE Sectorial'!K78/1000/1000</f>
        <v>0</v>
      </c>
      <c r="K79" s="17">
        <f>'Datos Actividad'!$T75*'FE Sectorial'!$H78*'FE Sectorial'!L78/1000/1000</f>
        <v>0</v>
      </c>
      <c r="L79" s="17">
        <f>'Datos Actividad'!$T75*'FE Sectorial'!$H78*'FE Sectorial'!M78/1000/1000</f>
        <v>0</v>
      </c>
      <c r="M79" s="17">
        <f>'Datos Actividad'!$T75*'FE Sectorial'!$H78*'FE Sectorial'!N78/1000/1000</f>
        <v>0</v>
      </c>
      <c r="N79" s="17">
        <f>'Datos Actividad'!$T75*'FE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82014.440128631992</v>
      </c>
      <c r="I80" s="15">
        <f>SUM(I81:I85)</f>
        <v>130.63087057515926</v>
      </c>
      <c r="J80" s="15">
        <f t="shared" ref="J80:O80" si="19">SUM(J81:J85)</f>
        <v>17.368473430821236</v>
      </c>
      <c r="K80" s="15">
        <f t="shared" si="19"/>
        <v>650.93054373053087</v>
      </c>
      <c r="L80" s="15">
        <f t="shared" si="19"/>
        <v>17265.623874501234</v>
      </c>
      <c r="M80" s="15">
        <f t="shared" si="19"/>
        <v>222.61571554526546</v>
      </c>
      <c r="N80" s="15">
        <f t="shared" si="19"/>
        <v>0</v>
      </c>
      <c r="O80" s="15">
        <f t="shared" si="19"/>
        <v>90141.915174264912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Actividad'!$T77*'FE Sectorial'!$H80*'FE Sectorial'!I80*'FE Sectorial'!P80/1000</f>
        <v>82014.440128631992</v>
      </c>
      <c r="I81" s="17">
        <f>'Datos Actividad'!$T77*'FE Sectorial'!$H80*'FE Sectorial'!J80/1000/1000</f>
        <v>1.469279376</v>
      </c>
      <c r="J81" s="17">
        <f>'Datos Actividad'!$T77*'FE Sectorial'!$H80*'FE Sectorial'!K80/1000/1000</f>
        <v>0.1469279376</v>
      </c>
      <c r="K81" s="17">
        <f>'Datos Actividad'!$T77*'FE Sectorial'!$H80*'FE Sectorial'!L80/1000/1000</f>
        <v>220.39190639999998</v>
      </c>
      <c r="L81" s="17">
        <f>'Datos Actividad'!$T77*'FE Sectorial'!$H80*'FE Sectorial'!M80/1000/1000</f>
        <v>44.078381280000002</v>
      </c>
      <c r="M81" s="17">
        <f>'Datos Actividad'!$T77*'FE Sectorial'!$H80*'FE Sectorial'!N80/1000/1000</f>
        <v>7.3463968800000004</v>
      </c>
      <c r="N81" s="17">
        <f>'Datos Actividad'!$T77*'FE Sectorial'!$H80*'FE Sectorial'!O80/1000/1000</f>
        <v>0</v>
      </c>
      <c r="O81" s="87">
        <f>IF(D81&lt;400,H81+I81*'Factores generales'!$M$41+J81*'Factores generales'!$N$41,I81*'Factores generales'!$M$41+J81*'Factores generales'!$N$41)</f>
        <v>82090.842656183988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Actividad'!$T78*'FE Sectorial'!$H81*'FE Sectorial'!I81*'FE Sectorial'!P81/1000</f>
        <v>0</v>
      </c>
      <c r="I82" s="17">
        <f>'Datos Actividad'!$T78*'FE Sectorial'!$H81*'FE Sectorial'!J81/1000/1000</f>
        <v>0</v>
      </c>
      <c r="J82" s="17">
        <f>'Datos Actividad'!$T78*'FE Sectorial'!$H81*'FE Sectorial'!K81/1000/1000</f>
        <v>0</v>
      </c>
      <c r="K82" s="17">
        <f>'Datos Actividad'!$T78*'FE Sectorial'!$H81*'FE Sectorial'!L81/1000/1000</f>
        <v>0</v>
      </c>
      <c r="L82" s="17">
        <f>'Datos Actividad'!$T78*'FE Sectorial'!$H81*'FE Sectorial'!M81/1000/1000</f>
        <v>0</v>
      </c>
      <c r="M82" s="17">
        <f>'Datos Actividad'!$T78*'FE Sectorial'!$H81*'FE Sectorial'!N81/1000/1000</f>
        <v>0</v>
      </c>
      <c r="N82" s="17">
        <f>'Datos Actividad'!$T78*'FE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Actividad'!$T79*'FE Sectorial'!$H82*'FE Sectorial'!I82*'FE Sectorial'!P82/1000</f>
        <v>0</v>
      </c>
      <c r="I83" s="95">
        <f>'Datos Actividad'!$T79*'FE Sectorial'!$H82*'FE Sectorial'!J82/1000/1000</f>
        <v>0</v>
      </c>
      <c r="J83" s="17">
        <f>'Datos Actividad'!$T79*'FE Sectorial'!$H82*'FE Sectorial'!K82/1000/1000</f>
        <v>0</v>
      </c>
      <c r="K83" s="17">
        <f>'Datos Actividad'!$T79*'FE Sectorial'!$H82*'FE Sectorial'!L82/1000/1000</f>
        <v>0</v>
      </c>
      <c r="L83" s="17">
        <f>'Datos Actividad'!$T79*'FE Sectorial'!$H82*'FE Sectorial'!M82/1000/1000</f>
        <v>0</v>
      </c>
      <c r="M83" s="17">
        <f>'Datos Actividad'!$T79*'FE Sectorial'!$H82*'FE Sectorial'!N82/1000/1000</f>
        <v>0</v>
      </c>
      <c r="N83" s="17">
        <f>'Datos Actividad'!$T79*'FE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Actividad'!$T80*'FE Sectorial'!$H83*'FE Sectorial'!I83*'FE Sectorial'!P83/1000</f>
        <v>0</v>
      </c>
      <c r="I84" s="95">
        <f>'Datos Actividad'!$T80*'FE Sectorial'!$H83*'FE Sectorial'!J83/1000/1000</f>
        <v>0</v>
      </c>
      <c r="J84" s="17">
        <f>'Datos Actividad'!$T80*'FE Sectorial'!$H83*'FE Sectorial'!K83/1000/1000</f>
        <v>0</v>
      </c>
      <c r="K84" s="17">
        <f>'Datos Actividad'!$T80*'FE Sectorial'!$H83*'FE Sectorial'!L83/1000/1000</f>
        <v>0</v>
      </c>
      <c r="L84" s="17">
        <f>'Datos Actividad'!$T80*'FE Sectorial'!$H83*'FE Sectorial'!M83/1000/1000</f>
        <v>0</v>
      </c>
      <c r="M84" s="17">
        <f>'Datos Actividad'!$T80*'FE Sectorial'!$H83*'FE Sectorial'!N83/1000/1000</f>
        <v>0</v>
      </c>
      <c r="N84" s="17">
        <f>'Datos Actividad'!$T80*'FE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Actividad'!$T81*'FE Sectorial'!$H84*'FE Sectorial'!I84*'FE Sectorial'!P84/1000</f>
        <v>374568.6144775619</v>
      </c>
      <c r="I85" s="95">
        <f>'Datos Actividad'!$T81*'FE Sectorial'!$H84*'FE Sectorial'!J84/1000/1000</f>
        <v>129.16159119915926</v>
      </c>
      <c r="J85" s="17">
        <f>'Datos Actividad'!$T81*'FE Sectorial'!$H84*'FE Sectorial'!K84/1000/1000</f>
        <v>17.221545493221235</v>
      </c>
      <c r="K85" s="17">
        <f>'Datos Actividad'!$T81*'FE Sectorial'!$H84*'FE Sectorial'!L84/1000/1000</f>
        <v>430.53863733053089</v>
      </c>
      <c r="L85" s="17">
        <f>'Datos Actividad'!$T81*'FE Sectorial'!$H84*'FE Sectorial'!M84/1000/1000</f>
        <v>17221.545493221234</v>
      </c>
      <c r="M85" s="17">
        <f>'Datos Actividad'!$T81*'FE Sectorial'!$H84*'FE Sectorial'!N84/1000/1000</f>
        <v>215.26931866526544</v>
      </c>
      <c r="N85" s="17">
        <f>'Datos Actividad'!$T81*'FE Sectorial'!$H84*'FE Sectorial'!O84/1000/1000</f>
        <v>0</v>
      </c>
      <c r="O85" s="87">
        <f>IF(D85&lt;400,H85+I85*'Factores generales'!$M$41+J85*'Factores generales'!$N$41,I85*'Factores generales'!$M$41+J85*'Factores generales'!$N$41)</f>
        <v>8051.0725180809277</v>
      </c>
    </row>
    <row r="86" spans="2:15" outlineLevel="1" x14ac:dyDescent="0.25">
      <c r="B86" s="1" t="s">
        <v>38</v>
      </c>
      <c r="G86" s="1"/>
      <c r="H86" s="15">
        <f>H87+H88</f>
        <v>255825.79582744802</v>
      </c>
      <c r="I86" s="15">
        <f>I87+I88+I89</f>
        <v>4.5830900640000003</v>
      </c>
      <c r="J86" s="15">
        <f t="shared" ref="J86:O86" si="20">J87+J88+J89</f>
        <v>0.45830900640000005</v>
      </c>
      <c r="K86" s="15">
        <f t="shared" si="20"/>
        <v>687.46350959999995</v>
      </c>
      <c r="L86" s="15">
        <f t="shared" si="20"/>
        <v>137.49270192000003</v>
      </c>
      <c r="M86" s="15">
        <f t="shared" si="20"/>
        <v>22.915450320000001</v>
      </c>
      <c r="N86" s="15">
        <f t="shared" si="20"/>
        <v>0</v>
      </c>
      <c r="O86" s="15">
        <f t="shared" si="20"/>
        <v>256064.11651077602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Actividad'!$T83*'FE Sectorial'!$H86*'FE Sectorial'!I86*'FE Sectorial'!P86/1000</f>
        <v>255825.79582744802</v>
      </c>
      <c r="I87" s="17">
        <f>'Datos Actividad'!$T83*'FE Sectorial'!$H86*'FE Sectorial'!J86/1000/1000</f>
        <v>4.5830900640000003</v>
      </c>
      <c r="J87" s="17">
        <f>'Datos Actividad'!$T83*'FE Sectorial'!$H86*'FE Sectorial'!K86/1000/1000</f>
        <v>0.45830900640000005</v>
      </c>
      <c r="K87" s="17">
        <f>'Datos Actividad'!$T83*'FE Sectorial'!$H86*'FE Sectorial'!L86/1000/1000</f>
        <v>687.46350959999995</v>
      </c>
      <c r="L87" s="17">
        <f>'Datos Actividad'!$T83*'FE Sectorial'!$H86*'FE Sectorial'!M86/1000/1000</f>
        <v>137.49270192000003</v>
      </c>
      <c r="M87" s="17">
        <f>'Datos Actividad'!$T83*'FE Sectorial'!$H86*'FE Sectorial'!N86/1000/1000</f>
        <v>22.915450320000001</v>
      </c>
      <c r="N87" s="17">
        <f>'Datos Actividad'!$T83*'FE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256064.11651077602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Actividad'!$T84*'FE Sectorial'!$H87*'FE Sectorial'!I87*'FE Sectorial'!P87/1000</f>
        <v>0</v>
      </c>
      <c r="I88" s="17">
        <f>'Datos Actividad'!$T84*'FE Sectorial'!$H87*'FE Sectorial'!J87/1000/1000</f>
        <v>0</v>
      </c>
      <c r="J88" s="17">
        <f>'Datos Actividad'!$T84*'FE Sectorial'!$H87*'FE Sectorial'!K87/1000/1000</f>
        <v>0</v>
      </c>
      <c r="K88" s="17">
        <f>'Datos Actividad'!$T84*'FE Sectorial'!$H87*'FE Sectorial'!L87/1000/1000</f>
        <v>0</v>
      </c>
      <c r="L88" s="17">
        <f>'Datos Actividad'!$T84*'FE Sectorial'!$H87*'FE Sectorial'!M87/1000/1000</f>
        <v>0</v>
      </c>
      <c r="M88" s="17">
        <f>'Datos Actividad'!$T84*'FE Sectorial'!$H87*'FE Sectorial'!N87/1000/1000</f>
        <v>0</v>
      </c>
      <c r="N88" s="17">
        <f>'Datos Actividad'!$T84*'FE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Actividad'!$T85*'FE Sectorial'!$H88*'FE Sectorial'!I88*'FE Sectorial'!P88/1000</f>
        <v>0</v>
      </c>
      <c r="I89" s="95">
        <f>'Datos Actividad'!$T85*'FE Sectorial'!$H88*'FE Sectorial'!J88/1000/1000</f>
        <v>0</v>
      </c>
      <c r="J89" s="17">
        <f>'Datos Actividad'!$T85*'FE Sectorial'!$H88*'FE Sectorial'!K88/1000/1000</f>
        <v>0</v>
      </c>
      <c r="K89" s="17">
        <f>'Datos Actividad'!$T85*'FE Sectorial'!$H88*'FE Sectorial'!L88/1000/1000</f>
        <v>0</v>
      </c>
      <c r="L89" s="17">
        <f>'Datos Actividad'!$T85*'FE Sectorial'!$H88*'FE Sectorial'!M88/1000/1000</f>
        <v>0</v>
      </c>
      <c r="M89" s="17">
        <f>'Datos Actividad'!$T85*'FE Sectorial'!$H88*'FE Sectorial'!N88/1000/1000</f>
        <v>0</v>
      </c>
      <c r="N89" s="17">
        <f>'Datos Actividad'!$T85*'FE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3796645.4241605559</v>
      </c>
      <c r="I90" s="15">
        <f t="shared" si="21"/>
        <v>68.016471379366635</v>
      </c>
      <c r="J90" s="15">
        <f t="shared" si="21"/>
        <v>6.8016471379366639</v>
      </c>
      <c r="K90" s="15">
        <f t="shared" si="21"/>
        <v>10202.470706904995</v>
      </c>
      <c r="L90" s="15">
        <f t="shared" si="21"/>
        <v>2040.4941413809991</v>
      </c>
      <c r="M90" s="15">
        <f t="shared" si="21"/>
        <v>340.08235689683318</v>
      </c>
      <c r="N90" s="15">
        <f t="shared" si="21"/>
        <v>0</v>
      </c>
      <c r="O90" s="15">
        <f t="shared" si="21"/>
        <v>3800182.2806722829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Actividad'!$T87*'FE Sectorial'!$H90*'FE Sectorial'!I90*'FE Sectorial'!P90/1000</f>
        <v>3796645.4241605559</v>
      </c>
      <c r="I91" s="17">
        <f>'Datos Actividad'!$T87*'FE Sectorial'!$H90*'FE Sectorial'!J90/1000/1000</f>
        <v>68.016471379366635</v>
      </c>
      <c r="J91" s="17">
        <f>'Datos Actividad'!$T87*'FE Sectorial'!$H90*'FE Sectorial'!K90/1000/1000</f>
        <v>6.8016471379366639</v>
      </c>
      <c r="K91" s="17">
        <f>'Datos Actividad'!$T87*'FE Sectorial'!$H90*'FE Sectorial'!L90/1000/1000</f>
        <v>10202.470706904995</v>
      </c>
      <c r="L91" s="17">
        <f>'Datos Actividad'!$T87*'FE Sectorial'!$H90*'FE Sectorial'!M90/1000/1000</f>
        <v>2040.4941413809991</v>
      </c>
      <c r="M91" s="17">
        <f>'Datos Actividad'!$T87*'FE Sectorial'!$H90*'FE Sectorial'!N90/1000/1000</f>
        <v>340.08235689683318</v>
      </c>
      <c r="N91" s="17">
        <f>'Datos Actividad'!$T87*'FE Sectorial'!$H90*'FE Sectorial'!O90/1000/1000</f>
        <v>0</v>
      </c>
      <c r="O91" s="87">
        <f>IF(D91&lt;400,H91+I91*'Factores generales'!$M$41+J91*'Factores generales'!$N$41,I91*'Factores generales'!$M$41+J91*'Factores generales'!$N$41)</f>
        <v>3800182.2806722829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Actividad'!$T88*'FE Sectorial'!$H91*'FE Sectorial'!I91*'FE Sectorial'!P91/1000</f>
        <v>0</v>
      </c>
      <c r="I92" s="17">
        <f>'Datos Actividad'!$T88*'FE Sectorial'!$H91*'FE Sectorial'!J91/1000/1000</f>
        <v>0</v>
      </c>
      <c r="J92" s="17">
        <f>'Datos Actividad'!$T88*'FE Sectorial'!$H91*'FE Sectorial'!K91/1000/1000</f>
        <v>0</v>
      </c>
      <c r="K92" s="17">
        <f>'Datos Actividad'!$T88*'FE Sectorial'!$H91*'FE Sectorial'!L91/1000/1000</f>
        <v>0</v>
      </c>
      <c r="L92" s="17">
        <f>'Datos Actividad'!$T88*'FE Sectorial'!$H91*'FE Sectorial'!M91/1000/1000</f>
        <v>0</v>
      </c>
      <c r="M92" s="17">
        <f>'Datos Actividad'!$T88*'FE Sectorial'!$H91*'FE Sectorial'!N91/1000/1000</f>
        <v>0</v>
      </c>
      <c r="N92" s="17">
        <f>'Datos Actividad'!$T88*'FE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Actividad'!$T89*'FE Sectorial'!$H92*'FE Sectorial'!I92*'FE Sectorial'!P92/1000</f>
        <v>0</v>
      </c>
      <c r="I93" s="17">
        <f>'Datos Actividad'!$T89*'FE Sectorial'!$H92*'FE Sectorial'!J92/1000/1000</f>
        <v>0</v>
      </c>
      <c r="J93" s="17">
        <f>'Datos Actividad'!$T89*'FE Sectorial'!$H92*'FE Sectorial'!K92/1000/1000</f>
        <v>0</v>
      </c>
      <c r="K93" s="17">
        <f>'Datos Actividad'!$T89*'FE Sectorial'!$H92*'FE Sectorial'!L92/1000/1000</f>
        <v>0</v>
      </c>
      <c r="L93" s="17">
        <f>'Datos Actividad'!$T89*'FE Sectorial'!$H92*'FE Sectorial'!M92/1000/1000</f>
        <v>0</v>
      </c>
      <c r="M93" s="17">
        <f>'Datos Actividad'!$T89*'FE Sectorial'!$H92*'FE Sectorial'!N92/1000/1000</f>
        <v>0</v>
      </c>
      <c r="N93" s="17">
        <f>'Datos Actividad'!$T89*'FE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2270315.6642385232</v>
      </c>
      <c r="I94" s="15">
        <f t="shared" ref="I94:O94" si="22">SUM(I95:I100)</f>
        <v>87.900997145721192</v>
      </c>
      <c r="J94" s="15">
        <f t="shared" si="22"/>
        <v>17.478601620925058</v>
      </c>
      <c r="K94" s="15">
        <f t="shared" si="22"/>
        <v>5944.7313165640608</v>
      </c>
      <c r="L94" s="15">
        <f t="shared" si="22"/>
        <v>320.09607267751812</v>
      </c>
      <c r="M94" s="15">
        <f t="shared" si="22"/>
        <v>149.88825551684127</v>
      </c>
      <c r="N94" s="15">
        <f t="shared" si="22"/>
        <v>5126.9418444815474</v>
      </c>
      <c r="O94" s="15">
        <f t="shared" si="22"/>
        <v>2277579.9516810705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Actividad'!$T91*'FE Sectorial'!$H94*'FE Sectorial'!I94*'FE Sectorial'!P94/1000</f>
        <v>0</v>
      </c>
      <c r="I95" s="17">
        <f>'Datos Actividad'!$T91*'FE Sectorial'!$H94*'FE Sectorial'!J94/1000/1000</f>
        <v>0</v>
      </c>
      <c r="J95" s="17">
        <f>'Datos Actividad'!$T91*'FE Sectorial'!$H94*'FE Sectorial'!K94/1000/1000</f>
        <v>0</v>
      </c>
      <c r="K95" s="17">
        <f>'Datos Actividad'!$T91*'FE Sectorial'!$H94*'FE Sectorial'!L94/1000/1000</f>
        <v>0</v>
      </c>
      <c r="L95" s="17">
        <f>'Datos Actividad'!$T91*'FE Sectorial'!$H94*'FE Sectorial'!M94/1000/1000</f>
        <v>0</v>
      </c>
      <c r="M95" s="17">
        <f>'Datos Actividad'!$T91*'FE Sectorial'!$H94*'FE Sectorial'!N94/1000/1000</f>
        <v>0</v>
      </c>
      <c r="N95" s="17">
        <f>'Datos Actividad'!$T91*'FE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Actividad'!$T92*'FE Sectorial'!$H95*'FE Sectorial'!I95*'FE Sectorial'!P95/1000</f>
        <v>63467.134816438374</v>
      </c>
      <c r="I96" s="17">
        <f>'Datos Actividad'!$T92*'FE Sectorial'!$H95*'FE Sectorial'!J95/1000/1000</f>
        <v>1.0159780821917812</v>
      </c>
      <c r="J96" s="17">
        <f>'Datos Actividad'!$T92*'FE Sectorial'!$H95*'FE Sectorial'!K95/1000/1000</f>
        <v>0.10159780821917812</v>
      </c>
      <c r="K96" s="17">
        <f>'Datos Actividad'!$T92*'FE Sectorial'!$H95*'FE Sectorial'!L95/1000/1000</f>
        <v>152.39671232876717</v>
      </c>
      <c r="L96" s="17">
        <f>'Datos Actividad'!$T92*'FE Sectorial'!$H95*'FE Sectorial'!M95/1000/1000</f>
        <v>30.479342465753437</v>
      </c>
      <c r="M96" s="17">
        <f>'Datos Actividad'!$T92*'FE Sectorial'!$H95*'FE Sectorial'!N95/1000/1000</f>
        <v>5.0798904109589058</v>
      </c>
      <c r="N96" s="17">
        <f>'Datos Actividad'!$T92*'FE Sectorial'!$H95*'FE Sectorial'!O95/1000/1000</f>
        <v>4.2958904109589069</v>
      </c>
      <c r="O96" s="87">
        <f>IF(D96&lt;400,H96+I96*'Factores generales'!$M$41+J96*'Factores generales'!$N$41,I96*'Factores generales'!$M$41+J96*'Factores generales'!$N$41)</f>
        <v>63519.965676712345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Actividad'!$T93*'FE Sectorial'!$H96*'FE Sectorial'!I96*'FE Sectorial'!P96/1000</f>
        <v>277731.90837728465</v>
      </c>
      <c r="I97" s="17">
        <f>'Datos Actividad'!$T93*'FE Sectorial'!$H96*'FE Sectorial'!J96/1000/1000</f>
        <v>11.357784663529412</v>
      </c>
      <c r="J97" s="17">
        <f>'Datos Actividad'!$T93*'FE Sectorial'!$H96*'FE Sectorial'!K96/1000/1000</f>
        <v>2.2715569327058818</v>
      </c>
      <c r="K97" s="17">
        <f>'Datos Actividad'!$T93*'FE Sectorial'!$H96*'FE Sectorial'!L96/1000/1000</f>
        <v>757.18564423529392</v>
      </c>
      <c r="L97" s="17">
        <f>'Datos Actividad'!$T93*'FE Sectorial'!$H96*'FE Sectorial'!M96/1000/1000</f>
        <v>37.8592822117647</v>
      </c>
      <c r="M97" s="17">
        <f>'Datos Actividad'!$T93*'FE Sectorial'!$H96*'FE Sectorial'!N96/1000/1000</f>
        <v>18.92964110588235</v>
      </c>
      <c r="N97" s="17">
        <f>'Datos Actividad'!$T93*'FE Sectorial'!$H96*'FE Sectorial'!O96/1000/1000</f>
        <v>137.34995407058821</v>
      </c>
      <c r="O97" s="87">
        <f>IF(D97&lt;400,H97+I97*'Factores generales'!$M$41+J97*'Factores generales'!$N$41,I97*'Factores generales'!$M$41+J97*'Factores generales'!$N$41)</f>
        <v>278674.60450435762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Actividad'!$T94*'FE Sectorial'!$H97*'FE Sectorial'!I97*'FE Sectorial'!P97/1000</f>
        <v>1929116.6210448004</v>
      </c>
      <c r="I98" s="17">
        <f>'Datos Actividad'!$T94*'FE Sectorial'!$H97*'FE Sectorial'!J97/1000/1000</f>
        <v>75.527234399999998</v>
      </c>
      <c r="J98" s="17">
        <f>'Datos Actividad'!$T94*'FE Sectorial'!$H97*'FE Sectorial'!K97/1000/1000</f>
        <v>15.105446879999999</v>
      </c>
      <c r="K98" s="17">
        <f>'Datos Actividad'!$T94*'FE Sectorial'!$H97*'FE Sectorial'!L97/1000/1000</f>
        <v>5035.1489599999995</v>
      </c>
      <c r="L98" s="17">
        <f>'Datos Actividad'!$T94*'FE Sectorial'!$H97*'FE Sectorial'!M97/1000/1000</f>
        <v>251.75744800000001</v>
      </c>
      <c r="M98" s="17">
        <f>'Datos Actividad'!$T94*'FE Sectorial'!$H97*'FE Sectorial'!N97/1000/1000</f>
        <v>125.87872400000001</v>
      </c>
      <c r="N98" s="17">
        <f>'Datos Actividad'!$T94*'FE Sectorial'!$H97*'FE Sectorial'!O97/1000/1000</f>
        <v>4985.2960000000003</v>
      </c>
      <c r="O98" s="87">
        <f>IF(D98&lt;400,H98+I98*'Factores generales'!$M$41+J98*'Factores generales'!$N$41,I98*'Factores generales'!$M$41+J98*'Factores generales'!$N$41)</f>
        <v>1935385.3815000004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Actividad'!$T95*'FE Sectorial'!$H98*'FE Sectorial'!I98*'FE Sectorial'!P98/1000</f>
        <v>0</v>
      </c>
      <c r="I99" s="17">
        <f>'Datos Actividad'!$T95*'FE Sectorial'!$H98*'FE Sectorial'!J98/1000/1000</f>
        <v>0</v>
      </c>
      <c r="J99" s="17">
        <f>'Datos Actividad'!$T95*'FE Sectorial'!$H98*'FE Sectorial'!K98/1000/1000</f>
        <v>0</v>
      </c>
      <c r="K99" s="17">
        <f>'Datos Actividad'!$T95*'FE Sectorial'!$H98*'FE Sectorial'!L98/1000/1000</f>
        <v>0</v>
      </c>
      <c r="L99" s="17">
        <f>'Datos Actividad'!$T95*'FE Sectorial'!$H98*'FE Sectorial'!M98/1000/1000</f>
        <v>0</v>
      </c>
      <c r="M99" s="17">
        <f>'Datos Actividad'!$T95*'FE Sectorial'!$H98*'FE Sectorial'!N98/1000/1000</f>
        <v>0</v>
      </c>
      <c r="N99" s="17">
        <f>'Datos Actividad'!$T95*'FE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Actividad'!$T96*'FE Sectorial'!$H99*'FE Sectorial'!I99*'FE Sectorial'!P99/1000</f>
        <v>0</v>
      </c>
      <c r="I100" s="17">
        <f>'Datos Actividad'!$T96*'FE Sectorial'!$H99*'FE Sectorial'!J99/1000/1000</f>
        <v>0</v>
      </c>
      <c r="J100" s="17">
        <f>'Datos Actividad'!$T96*'FE Sectorial'!$H99*'FE Sectorial'!K99/1000/1000</f>
        <v>0</v>
      </c>
      <c r="K100" s="17">
        <f>'Datos Actividad'!$T96*'FE Sectorial'!$H99*'FE Sectorial'!L99/1000/1000</f>
        <v>0</v>
      </c>
      <c r="L100" s="17">
        <f>'Datos Actividad'!$T96*'FE Sectorial'!$H99*'FE Sectorial'!M99/1000/1000</f>
        <v>0</v>
      </c>
      <c r="M100" s="17">
        <f>'Datos Actividad'!$T96*'FE Sectorial'!$H99*'FE Sectorial'!N99/1000/1000</f>
        <v>0</v>
      </c>
      <c r="N100" s="17">
        <f>'Datos Actividad'!$T96*'FE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40531064.415627025</v>
      </c>
      <c r="I101" s="129">
        <f t="shared" si="23"/>
        <v>10102.871401425422</v>
      </c>
      <c r="J101" s="129">
        <f t="shared" si="23"/>
        <v>2997.9935027860179</v>
      </c>
      <c r="K101" s="129">
        <f t="shared" si="23"/>
        <v>395164.59276705026</v>
      </c>
      <c r="L101" s="129">
        <f t="shared" si="23"/>
        <v>1872415.7508206875</v>
      </c>
      <c r="M101" s="129">
        <f t="shared" si="23"/>
        <v>352309.84457455867</v>
      </c>
      <c r="N101" s="129">
        <f t="shared" si="23"/>
        <v>12933.849081409093</v>
      </c>
      <c r="O101" s="129">
        <f t="shared" si="23"/>
        <v>41672602.700920619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1239555.3072815537</v>
      </c>
      <c r="I102" s="134">
        <f t="shared" ref="I102:O102" si="24">I105</f>
        <v>8.7557766990291288</v>
      </c>
      <c r="J102" s="134">
        <f t="shared" si="24"/>
        <v>35.023106796116515</v>
      </c>
      <c r="K102" s="134">
        <f t="shared" si="24"/>
        <v>4377.8883495145647</v>
      </c>
      <c r="L102" s="134">
        <f t="shared" si="24"/>
        <v>1751.1553398058256</v>
      </c>
      <c r="M102" s="134">
        <f t="shared" si="24"/>
        <v>875.57766990291282</v>
      </c>
      <c r="N102" s="134">
        <f t="shared" si="24"/>
        <v>794.17475728155364</v>
      </c>
      <c r="O102" s="134">
        <f t="shared" si="24"/>
        <v>1250596.3416990296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2576600.8095545778</v>
      </c>
      <c r="I103" s="15">
        <f t="shared" ref="I103:O103" si="25">I104</f>
        <v>18.200189373133984</v>
      </c>
      <c r="J103" s="15">
        <f t="shared" si="25"/>
        <v>72.800757492535936</v>
      </c>
      <c r="K103" s="15">
        <f t="shared" si="25"/>
        <v>9100.0946865669921</v>
      </c>
      <c r="L103" s="15">
        <f t="shared" si="25"/>
        <v>3640.0378746267966</v>
      </c>
      <c r="M103" s="15">
        <f t="shared" si="25"/>
        <v>1820.0189373133983</v>
      </c>
      <c r="N103" s="15">
        <f t="shared" si="25"/>
        <v>1650.8108274951458</v>
      </c>
      <c r="O103" s="15">
        <f t="shared" si="25"/>
        <v>2599551.2483540997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Actividad'!$T100*'FE Sectorial'!$H103*'FE Sectorial'!I103*'FE Sectorial'!P103/1000</f>
        <v>2576600.8095545778</v>
      </c>
      <c r="I104" s="17">
        <f>'Datos Actividad'!$T100*'FE Sectorial'!$H103*'FE Sectorial'!J103/1000/1000</f>
        <v>18.200189373133984</v>
      </c>
      <c r="J104" s="17">
        <f>'Datos Actividad'!$T100*'FE Sectorial'!$H103*'FE Sectorial'!K103/1000/1000</f>
        <v>72.800757492535936</v>
      </c>
      <c r="K104" s="17">
        <f>'Datos Actividad'!$T100*'FE Sectorial'!$H103*'FE Sectorial'!L103/1000/1000</f>
        <v>9100.0946865669921</v>
      </c>
      <c r="L104" s="17">
        <f>'Datos Actividad'!$T100*'FE Sectorial'!$H103*'FE Sectorial'!M103/1000/1000</f>
        <v>3640.0378746267966</v>
      </c>
      <c r="M104" s="17">
        <f>'Datos Actividad'!$T100*'FE Sectorial'!$H103*'FE Sectorial'!N103/1000/1000</f>
        <v>1820.0189373133983</v>
      </c>
      <c r="N104" s="17">
        <f>'Datos Actividad'!$T100*'FE Sectorial'!$H103*'FE Sectorial'!O103/1000/1000</f>
        <v>1650.8108274951458</v>
      </c>
      <c r="O104" s="87">
        <f>IF(D104&lt;400,H104+I104*'Factores generales'!$M$41+J104*'Factores generales'!$N$41,I104*'Factores generales'!$M$41+J104*'Factores generales'!$N$41)</f>
        <v>2599551.2483540997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1239555.3072815537</v>
      </c>
      <c r="I105" s="15">
        <f t="shared" ref="I105:O105" si="26">I106</f>
        <v>8.7557766990291288</v>
      </c>
      <c r="J105" s="15">
        <f t="shared" si="26"/>
        <v>35.023106796116515</v>
      </c>
      <c r="K105" s="15">
        <f t="shared" si="26"/>
        <v>4377.8883495145647</v>
      </c>
      <c r="L105" s="15">
        <f t="shared" si="26"/>
        <v>1751.1553398058256</v>
      </c>
      <c r="M105" s="15">
        <f t="shared" si="26"/>
        <v>875.57766990291282</v>
      </c>
      <c r="N105" s="15">
        <f t="shared" si="26"/>
        <v>794.17475728155364</v>
      </c>
      <c r="O105" s="15">
        <f t="shared" si="26"/>
        <v>1250596.3416990296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Actividad'!$T102*'FE Sectorial'!$H105*'FE Sectorial'!I105*'FE Sectorial'!P105/1000</f>
        <v>1239555.3072815537</v>
      </c>
      <c r="I106" s="17">
        <f>'Datos Actividad'!$T102*'FE Sectorial'!$H105*'FE Sectorial'!J105/1000/1000</f>
        <v>8.7557766990291288</v>
      </c>
      <c r="J106" s="17">
        <f>'Datos Actividad'!$T102*'FE Sectorial'!$H105*'FE Sectorial'!K105/1000/1000</f>
        <v>35.023106796116515</v>
      </c>
      <c r="K106" s="17">
        <f>'Datos Actividad'!$T102*'FE Sectorial'!$H105*'FE Sectorial'!L105/1000/1000</f>
        <v>4377.8883495145647</v>
      </c>
      <c r="L106" s="17">
        <f>'Datos Actividad'!$T102*'FE Sectorial'!$H105*'FE Sectorial'!M105/1000/1000</f>
        <v>1751.1553398058256</v>
      </c>
      <c r="M106" s="17">
        <f>'Datos Actividad'!$T102*'FE Sectorial'!$H105*'FE Sectorial'!N105/1000/1000</f>
        <v>875.57766990291282</v>
      </c>
      <c r="N106" s="17">
        <f>'Datos Actividad'!$T102*'FE Sectorial'!$H105*'FE Sectorial'!O105/1000/1000</f>
        <v>794.17475728155364</v>
      </c>
      <c r="O106" s="87">
        <f>IF(D106&lt;400,H106+I106*'Factores generales'!$M$41+J106*'Factores generales'!$N$41,I106*'Factores generales'!$M$41+J106*'Factores generales'!$N$41)</f>
        <v>1250596.3416990296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36782219.47540427</v>
      </c>
      <c r="I107" s="134">
        <f t="shared" si="27"/>
        <v>10004.038665524173</v>
      </c>
      <c r="J107" s="134">
        <f t="shared" si="27"/>
        <v>2803.3699451515349</v>
      </c>
      <c r="K107" s="134">
        <f t="shared" si="27"/>
        <v>371920.99148087786</v>
      </c>
      <c r="L107" s="134">
        <f t="shared" si="27"/>
        <v>1859547.2813054046</v>
      </c>
      <c r="M107" s="134">
        <f t="shared" si="27"/>
        <v>349179.78320853598</v>
      </c>
      <c r="N107" s="134">
        <f t="shared" si="27"/>
        <v>11261.938169522333</v>
      </c>
      <c r="O107" s="134">
        <f t="shared" si="27"/>
        <v>37861348.970377252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33479403.742510416</v>
      </c>
      <c r="I108" s="15">
        <f t="shared" ref="I108:O108" si="28">I109+I110+I111+I112+I113</f>
        <v>9828.4503756308259</v>
      </c>
      <c r="J108" s="15">
        <f t="shared" si="28"/>
        <v>2627.781655258188</v>
      </c>
      <c r="K108" s="15">
        <f t="shared" si="28"/>
        <v>335902.88073352462</v>
      </c>
      <c r="L108" s="15">
        <f t="shared" si="28"/>
        <v>1814524.6428712131</v>
      </c>
      <c r="M108" s="15">
        <f t="shared" si="28"/>
        <v>340175.25552169769</v>
      </c>
      <c r="N108" s="15">
        <f t="shared" si="28"/>
        <v>9628.5587286539885</v>
      </c>
      <c r="O108" s="15">
        <f t="shared" si="28"/>
        <v>34500413.513528697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Actividad'!$T105*'FE Sectorial'!$H108*'FE Sectorial'!I108*'FE Sectorial'!P108/1000</f>
        <v>2442605.9041866241</v>
      </c>
      <c r="I109" s="17">
        <f>'Datos Actividad'!$T105*'FE Sectorial'!$H108*'FE Sectorial'!J108/1000/1000</f>
        <v>4025.828665344</v>
      </c>
      <c r="J109" s="17">
        <f>'Datos Actividad'!$T105*'FE Sectorial'!$H108*'FE Sectorial'!K108/1000/1000</f>
        <v>131.27702169600002</v>
      </c>
      <c r="K109" s="17">
        <f>'Datos Actividad'!$T105*'FE Sectorial'!$H108*'FE Sectorial'!L108/1000/1000</f>
        <v>26255.404339200002</v>
      </c>
      <c r="L109" s="17">
        <f>'Datos Actividad'!$T105*'FE Sectorial'!$H108*'FE Sectorial'!M108/1000/1000</f>
        <v>17503.602892799998</v>
      </c>
      <c r="M109" s="17">
        <f>'Datos Actividad'!$T105*'FE Sectorial'!$H108*'FE Sectorial'!N108/1000/1000</f>
        <v>218.79503616</v>
      </c>
      <c r="N109" s="17">
        <f>'Datos Actividad'!$T105*'FE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2567844.1828846079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Actividad'!$T106*'FE Sectorial'!$H109*'FE Sectorial'!I109*'FE Sectorial'!P109/1000</f>
        <v>17694281.704038657</v>
      </c>
      <c r="I110" s="17">
        <f>'Datos Actividad'!$T106*'FE Sectorial'!$H109*'FE Sectorial'!J109/1000/1000</f>
        <v>940.68483275059339</v>
      </c>
      <c r="J110" s="17">
        <f>'Datos Actividad'!$T106*'FE Sectorial'!$H109*'FE Sectorial'!K109/1000/1000</f>
        <v>940.68483275059339</v>
      </c>
      <c r="K110" s="17">
        <f>'Datos Actividad'!$T106*'FE Sectorial'!$H109*'FE Sectorial'!L109/1000/1000</f>
        <v>192960.99133345505</v>
      </c>
      <c r="L110" s="17">
        <f>'Datos Actividad'!$T106*'FE Sectorial'!$H109*'FE Sectorial'!M109/1000/1000</f>
        <v>241201.23916681882</v>
      </c>
      <c r="M110" s="17">
        <f>'Datos Actividad'!$T106*'FE Sectorial'!$H109*'FE Sectorial'!N109/1000/1000</f>
        <v>48240.247833363763</v>
      </c>
      <c r="N110" s="17">
        <f>'Datos Actividad'!$T106*'FE Sectorial'!$H109*'FE Sectorial'!O109/1000/1000</f>
        <v>8750.5565837264512</v>
      </c>
      <c r="O110" s="87">
        <f>IF(D110&lt;400,H110+I110*'Factores generales'!$M$41+J110*'Factores generales'!$N$41,I110*'Factores generales'!$M$41+J110*'Factores generales'!$N$41)</f>
        <v>18005648.383679103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Actividad'!$T107*'FE Sectorial'!$H110*'FE Sectorial'!I110*'FE Sectorial'!P110/1000</f>
        <v>13342516.134285131</v>
      </c>
      <c r="I111" s="17">
        <f>'Datos Actividad'!$T107*'FE Sectorial'!$H110*'FE Sectorial'!J110/1000/1000</f>
        <v>4861.9368775362318</v>
      </c>
      <c r="J111" s="17">
        <f>'Datos Actividad'!$T107*'FE Sectorial'!$H110*'FE Sectorial'!K110/1000/1000</f>
        <v>1555.8198008115944</v>
      </c>
      <c r="K111" s="17">
        <f>'Datos Actividad'!$T107*'FE Sectorial'!$H110*'FE Sectorial'!L110/1000/1000</f>
        <v>116686.48506086957</v>
      </c>
      <c r="L111" s="17">
        <f>'Datos Actividad'!$T107*'FE Sectorial'!$H110*'FE Sectorial'!M110/1000/1000</f>
        <v>1555819.8008115944</v>
      </c>
      <c r="M111" s="17">
        <f>'Datos Actividad'!$T107*'FE Sectorial'!$H110*'FE Sectorial'!N110/1000/1000</f>
        <v>291716.21265217394</v>
      </c>
      <c r="N111" s="17">
        <f>'Datos Actividad'!$T107*'FE Sectorial'!$H110*'FE Sectorial'!O110/1000/1000</f>
        <v>878.00214492753639</v>
      </c>
      <c r="O111" s="87">
        <f>IF(D111&lt;400,H111+I111*'Factores generales'!$M$41+J111*'Factores generales'!$N$41,I111*'Factores generales'!$M$41+J111*'Factores generales'!$N$41)</f>
        <v>13926920.946964987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Actividad'!$T108*'FE Sectorial'!$H111*'FE Sectorial'!I111*'FE Sectorial'!P111/1000</f>
        <v>0</v>
      </c>
      <c r="I112" s="17">
        <f>'Datos Actividad'!$T108*'FE Sectorial'!$H111*'FE Sectorial'!J111/1000/1000</f>
        <v>0</v>
      </c>
      <c r="J112" s="17">
        <f>'Datos Actividad'!$T108*'FE Sectorial'!$H111*'FE Sectorial'!K111/1000/1000</f>
        <v>0</v>
      </c>
      <c r="K112" s="17">
        <f>'Datos Actividad'!$T108*'FE Sectorial'!$H111*'FE Sectorial'!L111/1000/1000</f>
        <v>0</v>
      </c>
      <c r="L112" s="17">
        <f>'Datos Actividad'!$T108*'FE Sectorial'!$H111*'FE Sectorial'!M111/1000/1000</f>
        <v>0</v>
      </c>
      <c r="M112" s="17">
        <f>'Datos Actividad'!$T108*'FE Sectorial'!$H111*'FE Sectorial'!N111/1000/1000</f>
        <v>0</v>
      </c>
      <c r="N112" s="17">
        <f>'Datos Actividad'!$T108*'FE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Actividad'!$T109*'FE Sectorial'!$H112*'FE Sectorial'!I112*'FE Sectorial'!P112/1000</f>
        <v>0</v>
      </c>
      <c r="I113" s="17">
        <f>'Datos Actividad'!$T109*'FE Sectorial'!$H112*'FE Sectorial'!J112/1000/1000</f>
        <v>0</v>
      </c>
      <c r="J113" s="17">
        <f>'Datos Actividad'!$T109*'FE Sectorial'!$H112*'FE Sectorial'!K112/1000/1000</f>
        <v>0</v>
      </c>
      <c r="K113" s="17">
        <f>'Datos Actividad'!$T109*'FE Sectorial'!$H112*'FE Sectorial'!L112/1000/1000</f>
        <v>0</v>
      </c>
      <c r="L113" s="17">
        <f>'Datos Actividad'!$T109*'FE Sectorial'!$H112*'FE Sectorial'!M112/1000/1000</f>
        <v>0</v>
      </c>
      <c r="M113" s="17">
        <f>'Datos Actividad'!$T109*'FE Sectorial'!$H112*'FE Sectorial'!N112/1000/1000</f>
        <v>0</v>
      </c>
      <c r="N113" s="17">
        <f>'Datos Actividad'!$T109*'FE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3302815.7328938572</v>
      </c>
      <c r="I114" s="15">
        <f t="shared" ref="I114:O114" si="29">I115</f>
        <v>175.588289893347</v>
      </c>
      <c r="J114" s="15">
        <f t="shared" si="29"/>
        <v>175.588289893347</v>
      </c>
      <c r="K114" s="15">
        <f t="shared" si="29"/>
        <v>36018.110747353232</v>
      </c>
      <c r="L114" s="15">
        <f t="shared" si="29"/>
        <v>45022.63843419154</v>
      </c>
      <c r="M114" s="15">
        <f t="shared" si="29"/>
        <v>9004.527686838308</v>
      </c>
      <c r="N114" s="15">
        <f t="shared" si="29"/>
        <v>1633.3794408683443</v>
      </c>
      <c r="O114" s="15">
        <f t="shared" si="29"/>
        <v>3360935.4568485548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Actividad'!$T111*'FE Sectorial'!$H114*'FE Sectorial'!I114*'FE Sectorial'!P114/1000</f>
        <v>3302815.7328938572</v>
      </c>
      <c r="I115" s="17">
        <f>'Datos Actividad'!$T111*'FE Sectorial'!$H114*'FE Sectorial'!J114/1000/1000</f>
        <v>175.588289893347</v>
      </c>
      <c r="J115" s="17">
        <f>'Datos Actividad'!$T111*'FE Sectorial'!$H114*'FE Sectorial'!K114/1000/1000</f>
        <v>175.588289893347</v>
      </c>
      <c r="K115" s="17">
        <f>'Datos Actividad'!$T111*'FE Sectorial'!$H114*'FE Sectorial'!L114/1000/1000</f>
        <v>36018.110747353232</v>
      </c>
      <c r="L115" s="17">
        <f>'Datos Actividad'!$T111*'FE Sectorial'!$H114*'FE Sectorial'!M114/1000/1000</f>
        <v>45022.63843419154</v>
      </c>
      <c r="M115" s="17">
        <f>'Datos Actividad'!$T111*'FE Sectorial'!$H114*'FE Sectorial'!N114/1000/1000</f>
        <v>9004.527686838308</v>
      </c>
      <c r="N115" s="17">
        <f>'Datos Actividad'!$T111*'FE Sectorial'!$H114*'FE Sectorial'!O114/1000/1000</f>
        <v>1633.3794408683443</v>
      </c>
      <c r="O115" s="87">
        <f>IF(D115&lt;400,H115+I115*'Factores generales'!$M$41+J115*'Factores generales'!$N$41,I115*'Factores generales'!$M$41+J115*'Factores generales'!$N$41)</f>
        <v>3360935.4568485548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373604.68109420419</v>
      </c>
      <c r="I116" s="134">
        <f t="shared" ref="I116:O116" si="30">I117</f>
        <v>21.135231212815711</v>
      </c>
      <c r="J116" s="134">
        <f t="shared" si="30"/>
        <v>145.65484643048899</v>
      </c>
      <c r="K116" s="134">
        <f t="shared" si="30"/>
        <v>6111.3921579226144</v>
      </c>
      <c r="L116" s="134">
        <f t="shared" si="30"/>
        <v>5092.8267982688449</v>
      </c>
      <c r="M116" s="134">
        <f t="shared" si="30"/>
        <v>1018.5653596537691</v>
      </c>
      <c r="N116" s="134">
        <f t="shared" si="30"/>
        <v>184.76301872789298</v>
      </c>
      <c r="O116" s="134">
        <f t="shared" si="30"/>
        <v>419201.52334312489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Actividad'!$T113*'FE Sectorial'!$H116*'FE Sectorial'!I116*'FE Sectorial'!P116/1000</f>
        <v>373604.68109420419</v>
      </c>
      <c r="I117" s="17">
        <f>'Datos Actividad'!$T113*'FE Sectorial'!$H116*'FE Sectorial'!J116/1000/1000</f>
        <v>21.135231212815711</v>
      </c>
      <c r="J117" s="17">
        <f>'Datos Actividad'!$T113*'FE Sectorial'!$H116*'FE Sectorial'!K116/1000/1000</f>
        <v>145.65484643048899</v>
      </c>
      <c r="K117" s="17">
        <f>'Datos Actividad'!$T113*'FE Sectorial'!$H116*'FE Sectorial'!L116/1000/1000</f>
        <v>6111.3921579226144</v>
      </c>
      <c r="L117" s="17">
        <f>'Datos Actividad'!$T113*'FE Sectorial'!$H116*'FE Sectorial'!M116/1000/1000</f>
        <v>5092.8267982688449</v>
      </c>
      <c r="M117" s="17">
        <f>'Datos Actividad'!$T113*'FE Sectorial'!$H116*'FE Sectorial'!N116/1000/1000</f>
        <v>1018.5653596537691</v>
      </c>
      <c r="N117" s="17">
        <f>'Datos Actividad'!$T113*'FE Sectorial'!$H116*'FE Sectorial'!O116/1000/1000</f>
        <v>184.76301872789298</v>
      </c>
      <c r="O117" s="87">
        <f>IF(D117&lt;400,H117+I117*'Factores generales'!$M$41+J117*'Factores generales'!$N$41,I117*'Factores generales'!$M$41+J117*'Factores generales'!$N$41)</f>
        <v>419201.52334312489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406559.56771327904</v>
      </c>
      <c r="I118" s="134">
        <f t="shared" ref="I118:O118" si="31">I122</f>
        <v>37.842249205045775</v>
      </c>
      <c r="J118" s="134">
        <f t="shared" si="31"/>
        <v>10.81207120144165</v>
      </c>
      <c r="K118" s="134">
        <f t="shared" si="31"/>
        <v>8109.0534010812371</v>
      </c>
      <c r="L118" s="134">
        <f t="shared" si="31"/>
        <v>5406.0356007208247</v>
      </c>
      <c r="M118" s="134">
        <f t="shared" si="31"/>
        <v>1081.2071201441649</v>
      </c>
      <c r="N118" s="134">
        <f t="shared" si="31"/>
        <v>690.12095667731364</v>
      </c>
      <c r="O118" s="134">
        <f t="shared" si="31"/>
        <v>410705.9970190319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1958335.35184386</v>
      </c>
      <c r="I119" s="15">
        <f t="shared" ref="I119:O119" si="32">I120+I121</f>
        <v>181.66082857999999</v>
      </c>
      <c r="J119" s="15">
        <f t="shared" si="32"/>
        <v>51.90309388</v>
      </c>
      <c r="K119" s="15">
        <f t="shared" si="32"/>
        <v>38927.32041</v>
      </c>
      <c r="L119" s="15">
        <f t="shared" si="32"/>
        <v>25951.54694</v>
      </c>
      <c r="M119" s="15">
        <f t="shared" si="32"/>
        <v>5190.3093879999997</v>
      </c>
      <c r="N119" s="15">
        <f t="shared" si="32"/>
        <v>3642.4157208000001</v>
      </c>
      <c r="O119" s="15">
        <f t="shared" si="32"/>
        <v>1978240.18834684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Actividad'!$T116*'FE Sectorial'!$H119*'FE Sectorial'!I119*'FE Sectorial'!P119/1000</f>
        <v>678753.39483665989</v>
      </c>
      <c r="I120" s="17">
        <f>'Datos Actividad'!$T116*'FE Sectorial'!$H119*'FE Sectorial'!J119/1000/1000</f>
        <v>64.767428179999996</v>
      </c>
      <c r="J120" s="17">
        <f>'Datos Actividad'!$T116*'FE Sectorial'!$H119*'FE Sectorial'!K119/1000/1000</f>
        <v>18.504979480000003</v>
      </c>
      <c r="K120" s="17">
        <f>'Datos Actividad'!$T116*'FE Sectorial'!$H119*'FE Sectorial'!L119/1000/1000</f>
        <v>13878.73461</v>
      </c>
      <c r="L120" s="17">
        <f>'Datos Actividad'!$T116*'FE Sectorial'!$H119*'FE Sectorial'!M119/1000/1000</f>
        <v>9252.4897400000009</v>
      </c>
      <c r="M120" s="17">
        <f>'Datos Actividad'!$T116*'FE Sectorial'!$H119*'FE Sectorial'!N119/1000/1000</f>
        <v>1850.4979480000002</v>
      </c>
      <c r="N120" s="17">
        <f>'Datos Actividad'!$T116*'FE Sectorial'!$H119*'FE Sectorial'!O119/1000/1000</f>
        <v>335.6717208</v>
      </c>
      <c r="O120" s="87">
        <f>IF(D120&lt;400,H120+I120*'Factores generales'!$M$41+J120*'Factores generales'!$N$41,I120*'Factores generales'!$M$41+J120*'Factores generales'!$N$41)</f>
        <v>685850.05446723988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Actividad'!$T117*'FE Sectorial'!$H120*'FE Sectorial'!I120*'FE Sectorial'!P120/1000</f>
        <v>1279581.9570072</v>
      </c>
      <c r="I121" s="17">
        <f>'Datos Actividad'!$T117*'FE Sectorial'!$H120*'FE Sectorial'!J120/1000/1000</f>
        <v>116.89340039999999</v>
      </c>
      <c r="J121" s="17">
        <f>'Datos Actividad'!$T117*'FE Sectorial'!$H120*'FE Sectorial'!K120/1000/1000</f>
        <v>33.398114399999997</v>
      </c>
      <c r="K121" s="17">
        <f>'Datos Actividad'!$T117*'FE Sectorial'!$H120*'FE Sectorial'!L120/1000/1000</f>
        <v>25048.585800000001</v>
      </c>
      <c r="L121" s="17">
        <f>'Datos Actividad'!$T117*'FE Sectorial'!$H120*'FE Sectorial'!M120/1000/1000</f>
        <v>16699.057199999999</v>
      </c>
      <c r="M121" s="17">
        <f>'Datos Actividad'!$T117*'FE Sectorial'!$H120*'FE Sectorial'!N120/1000/1000</f>
        <v>3339.8114399999999</v>
      </c>
      <c r="N121" s="17">
        <f>'Datos Actividad'!$T117*'FE Sectorial'!$H120*'FE Sectorial'!O120/1000/1000</f>
        <v>3306.7440000000001</v>
      </c>
      <c r="O121" s="87">
        <f>IF(D121&lt;400,H121+I121*'Factores generales'!$M$41+J121*'Factores generales'!$N$41,I121*'Factores generales'!$M$41+J121*'Factores generales'!$N$41)</f>
        <v>1292390.1338796001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406559.56771327904</v>
      </c>
      <c r="I122" s="15">
        <f t="shared" ref="I122:O122" si="33">I123+I124</f>
        <v>37.842249205045775</v>
      </c>
      <c r="J122" s="15">
        <f t="shared" si="33"/>
        <v>10.81207120144165</v>
      </c>
      <c r="K122" s="15">
        <f t="shared" si="33"/>
        <v>8109.0534010812371</v>
      </c>
      <c r="L122" s="15">
        <f t="shared" si="33"/>
        <v>5406.0356007208247</v>
      </c>
      <c r="M122" s="15">
        <f t="shared" si="33"/>
        <v>1081.2071201441649</v>
      </c>
      <c r="N122" s="15">
        <f t="shared" si="33"/>
        <v>690.12095667731364</v>
      </c>
      <c r="O122" s="15">
        <f t="shared" si="33"/>
        <v>410705.9970190319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Actividad'!$T119*'FE Sectorial'!$H122*'FE Sectorial'!I122*'FE Sectorial'!P122/1000</f>
        <v>172525.373473279</v>
      </c>
      <c r="I123" s="17">
        <f>'Datos Actividad'!$T119*'FE Sectorial'!$H122*'FE Sectorial'!J122/1000/1000</f>
        <v>16.462569205045778</v>
      </c>
      <c r="J123" s="17">
        <f>'Datos Actividad'!$T119*'FE Sectorial'!$H122*'FE Sectorial'!K122/1000/1000</f>
        <v>4.7035912014416503</v>
      </c>
      <c r="K123" s="17">
        <f>'Datos Actividad'!$T119*'FE Sectorial'!$H122*'FE Sectorial'!L122/1000/1000</f>
        <v>3527.6934010812379</v>
      </c>
      <c r="L123" s="17">
        <f>'Datos Actividad'!$T119*'FE Sectorial'!$H122*'FE Sectorial'!M122/1000/1000</f>
        <v>2351.795600720825</v>
      </c>
      <c r="M123" s="17">
        <f>'Datos Actividad'!$T119*'FE Sectorial'!$H122*'FE Sectorial'!N122/1000/1000</f>
        <v>470.35912014416505</v>
      </c>
      <c r="N123" s="17">
        <f>'Datos Actividad'!$T119*'FE Sectorial'!$H122*'FE Sectorial'!O122/1000/1000</f>
        <v>85.32095667731366</v>
      </c>
      <c r="O123" s="87">
        <f>IF(D123&lt;400,H123+I123*'Factores generales'!$M$41+J123*'Factores generales'!$N$41,I123*'Factores generales'!$M$41+J123*'Factores generales'!$N$41)</f>
        <v>174329.20069903188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Actividad'!$T120*'FE Sectorial'!$H123*'FE Sectorial'!I123*'FE Sectorial'!P123/1000</f>
        <v>234034.19424000004</v>
      </c>
      <c r="I124" s="17">
        <f>'Datos Actividad'!$T120*'FE Sectorial'!$H123*'FE Sectorial'!J123/1000/1000</f>
        <v>21.37968</v>
      </c>
      <c r="J124" s="17">
        <f>'Datos Actividad'!$T120*'FE Sectorial'!$H123*'FE Sectorial'!K123/1000/1000</f>
        <v>6.1084799999999992</v>
      </c>
      <c r="K124" s="17">
        <f>'Datos Actividad'!$T120*'FE Sectorial'!$H123*'FE Sectorial'!L123/1000/1000</f>
        <v>4581.3599999999997</v>
      </c>
      <c r="L124" s="17">
        <f>'Datos Actividad'!$T120*'FE Sectorial'!$H123*'FE Sectorial'!M123/1000/1000</f>
        <v>3054.24</v>
      </c>
      <c r="M124" s="17">
        <f>'Datos Actividad'!$T120*'FE Sectorial'!$H123*'FE Sectorial'!N123/1000/1000</f>
        <v>610.84799999999996</v>
      </c>
      <c r="N124" s="17">
        <f>'Datos Actividad'!$T120*'FE Sectorial'!$H123*'FE Sectorial'!O123/1000/1000</f>
        <v>604.79999999999995</v>
      </c>
      <c r="O124" s="87">
        <f>IF(D124&lt;400,H124+I124*'Factores generales'!$M$41+J124*'Factores generales'!$N$41,I124*'Factores generales'!$M$41+J124*'Factores generales'!$N$41)</f>
        <v>236376.79632000005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1729125.3841337203</v>
      </c>
      <c r="I125" s="134">
        <f t="shared" si="34"/>
        <v>31.099478784360002</v>
      </c>
      <c r="J125" s="134">
        <f t="shared" si="34"/>
        <v>3.1335332064360002</v>
      </c>
      <c r="K125" s="134">
        <f t="shared" si="34"/>
        <v>4645.2673776540005</v>
      </c>
      <c r="L125" s="134">
        <f t="shared" si="34"/>
        <v>618.45177648719994</v>
      </c>
      <c r="M125" s="134">
        <f t="shared" si="34"/>
        <v>154.71121632179998</v>
      </c>
      <c r="N125" s="134">
        <f t="shared" si="34"/>
        <v>2.8521791999999997</v>
      </c>
      <c r="O125" s="134">
        <f t="shared" si="34"/>
        <v>1730749.8684821869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1729125.3841337203</v>
      </c>
      <c r="I126" s="15">
        <f t="shared" si="35"/>
        <v>31.099478784360002</v>
      </c>
      <c r="J126" s="15">
        <f t="shared" si="35"/>
        <v>3.1335332064360002</v>
      </c>
      <c r="K126" s="15">
        <f t="shared" si="35"/>
        <v>4645.2673776540005</v>
      </c>
      <c r="L126" s="15">
        <f t="shared" si="35"/>
        <v>618.45177648719994</v>
      </c>
      <c r="M126" s="15">
        <f t="shared" si="35"/>
        <v>154.71121632179998</v>
      </c>
      <c r="N126" s="15">
        <f t="shared" si="35"/>
        <v>2.8521791999999997</v>
      </c>
      <c r="O126" s="15">
        <f t="shared" si="35"/>
        <v>1730749.8684821869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Actividad'!$T123*'FE Sectorial'!$H126*'FE Sectorial'!I126*'FE Sectorial'!P126/1000</f>
        <v>1701626.7344472001</v>
      </c>
      <c r="I127" s="17">
        <f>'Datos Actividad'!$T123*'FE Sectorial'!$H126*'FE Sectorial'!J126/1000/1000</f>
        <v>30.484449600000001</v>
      </c>
      <c r="J127" s="17">
        <f>'Datos Actividad'!$T123*'FE Sectorial'!$H126*'FE Sectorial'!K126/1000/1000</f>
        <v>3.0484449600000003</v>
      </c>
      <c r="K127" s="17">
        <f>'Datos Actividad'!$T123*'FE Sectorial'!$H126*'FE Sectorial'!L126/1000/1000</f>
        <v>4572.6674400000002</v>
      </c>
      <c r="L127" s="17">
        <f>'Datos Actividad'!$T123*'FE Sectorial'!$H126*'FE Sectorial'!M126/1000/1000</f>
        <v>609.68899199999998</v>
      </c>
      <c r="M127" s="17">
        <f>'Datos Actividad'!$T123*'FE Sectorial'!$H126*'FE Sectorial'!N126/1000/1000</f>
        <v>152.422248</v>
      </c>
      <c r="N127" s="17">
        <f>'Datos Actividad'!$T123*'FE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1703211.9258264001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Actividad'!$T124*'FE Sectorial'!$H127*'FE Sectorial'!I127*'FE Sectorial'!P127/1000</f>
        <v>5767.3202558399989</v>
      </c>
      <c r="I128" s="17">
        <f>'Datos Actividad'!$T124*'FE Sectorial'!$H127*'FE Sectorial'!J127/1000/1000</f>
        <v>0.23585327999999997</v>
      </c>
      <c r="J128" s="17">
        <f>'Datos Actividad'!$T124*'FE Sectorial'!$H127*'FE Sectorial'!K127/1000/1000</f>
        <v>4.7170655999999991E-2</v>
      </c>
      <c r="K128" s="17">
        <f>'Datos Actividad'!$T124*'FE Sectorial'!$H127*'FE Sectorial'!L127/1000/1000</f>
        <v>15.723551999999998</v>
      </c>
      <c r="L128" s="17">
        <f>'Datos Actividad'!$T124*'FE Sectorial'!$H127*'FE Sectorial'!M127/1000/1000</f>
        <v>1.1792663999999999</v>
      </c>
      <c r="M128" s="17">
        <f>'Datos Actividad'!$T124*'FE Sectorial'!$H127*'FE Sectorial'!N127/1000/1000</f>
        <v>0.39308880000000002</v>
      </c>
      <c r="N128" s="17">
        <f>'Datos Actividad'!$T124*'FE Sectorial'!$H127*'FE Sectorial'!O127/1000/1000</f>
        <v>2.8521791999999997</v>
      </c>
      <c r="O128" s="87">
        <f>IF(D128&lt;400,H128+I128*'Factores generales'!$M$41+J128*'Factores generales'!$N$41,I128*'Factores generales'!$M$41+J128*'Factores generales'!$N$41)</f>
        <v>5786.8960780799989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Actividad'!$T125*'FE Sectorial'!$H128*'FE Sectorial'!I128*'FE Sectorial'!P128/1000</f>
        <v>21731.329430680322</v>
      </c>
      <c r="I129" s="17">
        <f>'Datos Actividad'!$T125*'FE Sectorial'!$H128*'FE Sectorial'!J128/1000/1000</f>
        <v>0.37917590436000004</v>
      </c>
      <c r="J129" s="17">
        <f>'Datos Actividad'!$T125*'FE Sectorial'!$H128*'FE Sectorial'!K128/1000/1000</f>
        <v>3.7917590436000008E-2</v>
      </c>
      <c r="K129" s="17">
        <f>'Datos Actividad'!$T125*'FE Sectorial'!$H128*'FE Sectorial'!L128/1000/1000</f>
        <v>56.876385654000003</v>
      </c>
      <c r="L129" s="17">
        <f>'Datos Actividad'!$T125*'FE Sectorial'!$H128*'FE Sectorial'!M128/1000/1000</f>
        <v>7.5835180872000008</v>
      </c>
      <c r="M129" s="17">
        <f>'Datos Actividad'!$T125*'FE Sectorial'!$H128*'FE Sectorial'!N128/1000/1000</f>
        <v>1.8958795218000002</v>
      </c>
      <c r="N129" s="17">
        <f>'Datos Actividad'!$T125*'FE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21751.046577707042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25902316.697221652</v>
      </c>
      <c r="I131" s="129">
        <f t="shared" si="36"/>
        <v>2437.6631612409387</v>
      </c>
      <c r="J131" s="129">
        <f t="shared" si="36"/>
        <v>190.84872787652534</v>
      </c>
      <c r="K131" s="129">
        <f t="shared" si="36"/>
        <v>179365.22731974334</v>
      </c>
      <c r="L131" s="129">
        <f t="shared" si="36"/>
        <v>244697.37822668633</v>
      </c>
      <c r="M131" s="129">
        <f t="shared" si="36"/>
        <v>32998.657790299032</v>
      </c>
      <c r="N131" s="129">
        <f t="shared" si="36"/>
        <v>8422.6306996315943</v>
      </c>
      <c r="O131" s="129">
        <f t="shared" si="36"/>
        <v>26012670.729249436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2824993.341151725</v>
      </c>
      <c r="I132" s="134">
        <f>SUM(I133:I137)</f>
        <v>59.214552406820317</v>
      </c>
      <c r="J132" s="134">
        <f t="shared" ref="J132:O132" si="37">SUM(J133:J137)</f>
        <v>7.4928254227996796</v>
      </c>
      <c r="K132" s="134">
        <f t="shared" si="37"/>
        <v>7048.9176485524586</v>
      </c>
      <c r="L132" s="134">
        <f t="shared" si="37"/>
        <v>2279.8005414233689</v>
      </c>
      <c r="M132" s="134">
        <f t="shared" si="37"/>
        <v>243.6937559635133</v>
      </c>
      <c r="N132" s="134">
        <f t="shared" si="37"/>
        <v>563.74433983174856</v>
      </c>
      <c r="O132" s="134">
        <f t="shared" si="37"/>
        <v>2828559.6226333361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Actividad'!$T129*'FE Sectorial'!$H132*'FE Sectorial'!I132*'FE Sectorial'!P132/1000</f>
        <v>0</v>
      </c>
      <c r="I133" s="17">
        <f>'Datos Actividad'!$T129*'FE Sectorial'!$H132*'FE Sectorial'!J132/1000/1000</f>
        <v>0</v>
      </c>
      <c r="J133" s="17">
        <f>'Datos Actividad'!$T129*'FE Sectorial'!$H132*'FE Sectorial'!K132/1000/1000</f>
        <v>0</v>
      </c>
      <c r="K133" s="17">
        <f>'Datos Actividad'!$T129*'FE Sectorial'!$H132*'FE Sectorial'!L132/1000/1000</f>
        <v>0</v>
      </c>
      <c r="L133" s="17">
        <f>'Datos Actividad'!$T129*'FE Sectorial'!$H132*'FE Sectorial'!M132/1000/1000</f>
        <v>0</v>
      </c>
      <c r="M133" s="17">
        <f>'Datos Actividad'!$T129*'FE Sectorial'!$H132*'FE Sectorial'!N132/1000/1000</f>
        <v>0</v>
      </c>
      <c r="N133" s="17">
        <f>'Datos Actividad'!$T129*'FE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Actividad'!$T130*'FE Sectorial'!$H133*'FE Sectorial'!I133*'FE Sectorial'!P133/1000</f>
        <v>2385662.1878461679</v>
      </c>
      <c r="I134" s="17">
        <f>'Datos Actividad'!$T130*'FE Sectorial'!$H133*'FE Sectorial'!J133/1000/1000</f>
        <v>42.738867024000008</v>
      </c>
      <c r="J134" s="17">
        <f>'Datos Actividad'!$T130*'FE Sectorial'!$H133*'FE Sectorial'!K133/1000/1000</f>
        <v>4.2738867024000013</v>
      </c>
      <c r="K134" s="17">
        <f>'Datos Actividad'!$T130*'FE Sectorial'!$H133*'FE Sectorial'!L133/1000/1000</f>
        <v>6410.8300536000006</v>
      </c>
      <c r="L134" s="17">
        <f>'Datos Actividad'!$T130*'FE Sectorial'!$H133*'FE Sectorial'!M133/1000/1000</f>
        <v>2136.9433512000005</v>
      </c>
      <c r="M134" s="17">
        <f>'Datos Actividad'!$T130*'FE Sectorial'!$H133*'FE Sectorial'!N133/1000/1000</f>
        <v>213.69433512000001</v>
      </c>
      <c r="N134" s="17">
        <f>'Datos Actividad'!$T130*'FE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2387884.6089314162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Actividad'!$T131*'FE Sectorial'!$H134*'FE Sectorial'!I134*'FE Sectorial'!P134/1000</f>
        <v>47600.351112328768</v>
      </c>
      <c r="I135" s="17">
        <f>'Datos Actividad'!$T131*'FE Sectorial'!$H134*'FE Sectorial'!J134/1000/1000</f>
        <v>0.76198356164383563</v>
      </c>
      <c r="J135" s="17">
        <f>'Datos Actividad'!$T131*'FE Sectorial'!$H134*'FE Sectorial'!K134/1000/1000</f>
        <v>7.6198356164383571E-2</v>
      </c>
      <c r="K135" s="17">
        <f>'Datos Actividad'!$T131*'FE Sectorial'!$H134*'FE Sectorial'!L134/1000/1000</f>
        <v>114.29753424657534</v>
      </c>
      <c r="L135" s="17">
        <f>'Datos Actividad'!$T131*'FE Sectorial'!$H134*'FE Sectorial'!M134/1000/1000</f>
        <v>38.099178082191777</v>
      </c>
      <c r="M135" s="17">
        <f>'Datos Actividad'!$T131*'FE Sectorial'!$H134*'FE Sectorial'!N134/1000/1000</f>
        <v>3.8099178082191778</v>
      </c>
      <c r="N135" s="17">
        <f>'Datos Actividad'!$T131*'FE Sectorial'!$H134*'FE Sectorial'!O134/1000/1000</f>
        <v>3.2219178082191782</v>
      </c>
      <c r="O135" s="87">
        <f>IF(D135&lt;400,H135+I135*'Factores generales'!$M$41+J135*'Factores generales'!$N$41,I135*'Factores generales'!$M$41+J135*'Factores generales'!$N$41)</f>
        <v>47639.974257534246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Actividad'!$T132*'FE Sectorial'!$H135*'FE Sectorial'!I135*'FE Sectorial'!P135/1000</f>
        <v>216205.1565132282</v>
      </c>
      <c r="I136" s="17">
        <f>'Datos Actividad'!$T132*'FE Sectorial'!$H135*'FE Sectorial'!J135/1000/1000</f>
        <v>8.841661821176471</v>
      </c>
      <c r="J136" s="17">
        <f>'Datos Actividad'!$T132*'FE Sectorial'!$H135*'FE Sectorial'!K135/1000/1000</f>
        <v>1.7683323642352942</v>
      </c>
      <c r="K136" s="17">
        <f>'Datos Actividad'!$T132*'FE Sectorial'!$H135*'FE Sectorial'!L135/1000/1000</f>
        <v>294.72206070588237</v>
      </c>
      <c r="L136" s="17">
        <f>'Datos Actividad'!$T132*'FE Sectorial'!$H135*'FE Sectorial'!M135/1000/1000</f>
        <v>58.944412141176471</v>
      </c>
      <c r="M136" s="17">
        <f>'Datos Actividad'!$T132*'FE Sectorial'!$H135*'FE Sectorial'!N135/1000/1000</f>
        <v>14.736103035294118</v>
      </c>
      <c r="N136" s="17">
        <f>'Datos Actividad'!$T132*'FE Sectorial'!$H135*'FE Sectorial'!O135/1000/1000</f>
        <v>106.92242202352941</v>
      </c>
      <c r="O136" s="87">
        <f>IF(D136&lt;400,H136+I136*'Factores generales'!$M$41+J136*'Factores generales'!$N$41,I136*'Factores generales'!$M$41+J136*'Factores generales'!$N$41)</f>
        <v>216939.01444438583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Actividad'!$T133*'FE Sectorial'!$H136*'FE Sectorial'!I136*'FE Sectorial'!P136/1000</f>
        <v>175525.64568000002</v>
      </c>
      <c r="I137" s="17">
        <f>'Datos Actividad'!$T133*'FE Sectorial'!$H136*'FE Sectorial'!J136/1000/1000</f>
        <v>6.8720400000000001</v>
      </c>
      <c r="J137" s="17">
        <f>'Datos Actividad'!$T133*'FE Sectorial'!$H136*'FE Sectorial'!K136/1000/1000</f>
        <v>1.3744079999999999</v>
      </c>
      <c r="K137" s="17">
        <f>'Datos Actividad'!$T133*'FE Sectorial'!$H136*'FE Sectorial'!L136/1000/1000</f>
        <v>229.06800000000001</v>
      </c>
      <c r="L137" s="17">
        <f>'Datos Actividad'!$T133*'FE Sectorial'!$H136*'FE Sectorial'!M136/1000/1000</f>
        <v>45.813600000000001</v>
      </c>
      <c r="M137" s="17">
        <f>'Datos Actividad'!$T133*'FE Sectorial'!$H136*'FE Sectorial'!N136/1000/1000</f>
        <v>11.4534</v>
      </c>
      <c r="N137" s="17">
        <f>'Datos Actividad'!$T133*'FE Sectorial'!$H136*'FE Sectorial'!O136/1000/1000</f>
        <v>453.6</v>
      </c>
      <c r="O137" s="87">
        <f>IF(D137&lt;400,H137+I137*'Factores generales'!$M$41+J137*'Factores generales'!$N$41,I137*'Factores generales'!$M$41+J137*'Factores generales'!$N$41)</f>
        <v>176096.02500000002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15032581.230481692</v>
      </c>
      <c r="I138" s="134">
        <f>SUM(I139:I144)</f>
        <v>2049.4606676576477</v>
      </c>
      <c r="J138" s="134">
        <f t="shared" ref="J138:O138" si="38">SUM(J139:J144)</f>
        <v>117.55831421843156</v>
      </c>
      <c r="K138" s="134">
        <f t="shared" si="38"/>
        <v>40721.133200602664</v>
      </c>
      <c r="L138" s="134">
        <f t="shared" si="38"/>
        <v>132754.93062643943</v>
      </c>
      <c r="M138" s="134">
        <f t="shared" si="38"/>
        <v>10822.434622570812</v>
      </c>
      <c r="N138" s="134">
        <f t="shared" si="38"/>
        <v>3880.4275362704338</v>
      </c>
      <c r="O138" s="134">
        <f t="shared" si="38"/>
        <v>15112062.981910219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Actividad'!$T135*'FE Sectorial'!$H138*'FE Sectorial'!I138*'FE Sectorial'!P138/1000</f>
        <v>1202833.2521739129</v>
      </c>
      <c r="I139" s="17">
        <f>'Datos Actividad'!$T135*'FE Sectorial'!$H138*'FE Sectorial'!J138/1000/1000</f>
        <v>370.33043478260862</v>
      </c>
      <c r="J139" s="17">
        <f>'Datos Actividad'!$T135*'FE Sectorial'!$H138*'FE Sectorial'!K138/1000/1000</f>
        <v>49.377391304347825</v>
      </c>
      <c r="K139" s="17">
        <f>'Datos Actividad'!$T135*'FE Sectorial'!$H138*'FE Sectorial'!L138/1000/1000</f>
        <v>1234.4347826086955</v>
      </c>
      <c r="L139" s="17">
        <f>'Datos Actividad'!$T135*'FE Sectorial'!$H138*'FE Sectorial'!M138/1000/1000</f>
        <v>61721.739130434777</v>
      </c>
      <c r="M139" s="17">
        <f>'Datos Actividad'!$T135*'FE Sectorial'!$H138*'FE Sectorial'!N138/1000/1000</f>
        <v>7406.6086956521731</v>
      </c>
      <c r="N139" s="17">
        <f>'Datos Actividad'!$T135*'FE Sectorial'!$H138*'FE Sectorial'!O138/1000/1000</f>
        <v>3165.2173913043475</v>
      </c>
      <c r="O139" s="87">
        <f>IF(D139&lt;400,H139+I139*'Factores generales'!$M$41+J139*'Factores generales'!$N$41,I139*'Factores generales'!$M$41+J139*'Factores generales'!$N$41)</f>
        <v>23083.930434782607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Actividad'!$T136*'FE Sectorial'!$H139*'FE Sectorial'!I139*'FE Sectorial'!P139/1000</f>
        <v>210102.85501729907</v>
      </c>
      <c r="I140" s="17">
        <f>'Datos Actividad'!$T136*'FE Sectorial'!$H139*'FE Sectorial'!J139/1000/1000</f>
        <v>72.449260350792784</v>
      </c>
      <c r="J140" s="17">
        <f>'Datos Actividad'!$T136*'FE Sectorial'!$H139*'FE Sectorial'!K139/1000/1000</f>
        <v>9.6599013801057048</v>
      </c>
      <c r="K140" s="17">
        <f>'Datos Actividad'!$T136*'FE Sectorial'!$H139*'FE Sectorial'!L139/1000/1000</f>
        <v>241.49753450264259</v>
      </c>
      <c r="L140" s="17">
        <f>'Datos Actividad'!$T136*'FE Sectorial'!$H139*'FE Sectorial'!M139/1000/1000</f>
        <v>12074.87672513213</v>
      </c>
      <c r="M140" s="17">
        <f>'Datos Actividad'!$T136*'FE Sectorial'!$H139*'FE Sectorial'!N139/1000/1000</f>
        <v>1448.9852070158554</v>
      </c>
      <c r="N140" s="17">
        <f>'Datos Actividad'!$T136*'FE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4516.0038951994165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Actividad'!$T137*'FE Sectorial'!$H140*'FE Sectorial'!I140*'FE Sectorial'!P140/1000</f>
        <v>11618829.864553826</v>
      </c>
      <c r="I141" s="17">
        <f>'Datos Actividad'!$T137*'FE Sectorial'!$H140*'FE Sectorial'!J140/1000/1000</f>
        <v>208.15001683200003</v>
      </c>
      <c r="J141" s="17">
        <f>'Datos Actividad'!$T137*'FE Sectorial'!$H140*'FE Sectorial'!K140/1000/1000</f>
        <v>20.815001683199998</v>
      </c>
      <c r="K141" s="17">
        <f>'Datos Actividad'!$T137*'FE Sectorial'!$H140*'FE Sectorial'!L140/1000/1000</f>
        <v>31222.502524800002</v>
      </c>
      <c r="L141" s="17">
        <f>'Datos Actividad'!$T137*'FE Sectorial'!$H140*'FE Sectorial'!M140/1000/1000</f>
        <v>10407.5008416</v>
      </c>
      <c r="M141" s="17">
        <f>'Datos Actividad'!$T137*'FE Sectorial'!$H140*'FE Sectorial'!N140/1000/1000</f>
        <v>1040.7500841600001</v>
      </c>
      <c r="N141" s="17">
        <f>'Datos Actividad'!$T137*'FE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11629653.665429091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Actividad'!$T138*'FE Sectorial'!$H141*'FE Sectorial'!I141*'FE Sectorial'!P141/1000</f>
        <v>2568832.2816953426</v>
      </c>
      <c r="I142" s="17">
        <f>'Datos Actividad'!$T138*'FE Sectorial'!$H141*'FE Sectorial'!J141/1000/1000</f>
        <v>41.12171287671233</v>
      </c>
      <c r="J142" s="17">
        <f>'Datos Actividad'!$T138*'FE Sectorial'!$H141*'FE Sectorial'!K141/1000/1000</f>
        <v>4.1121712876712326</v>
      </c>
      <c r="K142" s="17">
        <f>'Datos Actividad'!$T138*'FE Sectorial'!$H141*'FE Sectorial'!L141/1000/1000</f>
        <v>6168.2569315068486</v>
      </c>
      <c r="L142" s="17">
        <f>'Datos Actividad'!$T138*'FE Sectorial'!$H141*'FE Sectorial'!M141/1000/1000</f>
        <v>2056.0856438356163</v>
      </c>
      <c r="M142" s="17">
        <f>'Datos Actividad'!$T138*'FE Sectorial'!$H141*'FE Sectorial'!N141/1000/1000</f>
        <v>205.60856438356163</v>
      </c>
      <c r="N142" s="17">
        <f>'Datos Actividad'!$T138*'FE Sectorial'!$H141*'FE Sectorial'!O141/1000/1000</f>
        <v>173.87616438356167</v>
      </c>
      <c r="O142" s="87">
        <f>IF(D142&lt;400,H142+I142*'Factores generales'!$M$41+J142*'Factores generales'!$N$41,I142*'Factores generales'!$M$41+J142*'Factores generales'!$N$41)</f>
        <v>2570970.6107649314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Actividad'!$T139*'FE Sectorial'!$H142*'FE Sectorial'!I142*'FE Sectorial'!P142/1000</f>
        <v>844919.08423252427</v>
      </c>
      <c r="I143" s="17">
        <f>'Datos Actividad'!$T139*'FE Sectorial'!$H142*'FE Sectorial'!J142/1000/1000</f>
        <v>35.809242815533977</v>
      </c>
      <c r="J143" s="17">
        <f>'Datos Actividad'!$T139*'FE Sectorial'!$H142*'FE Sectorial'!K142/1000/1000</f>
        <v>7.1618485631067967</v>
      </c>
      <c r="K143" s="17">
        <f>'Datos Actividad'!$T139*'FE Sectorial'!$H142*'FE Sectorial'!L142/1000/1000</f>
        <v>1193.641427184466</v>
      </c>
      <c r="L143" s="17">
        <f>'Datos Actividad'!$T139*'FE Sectorial'!$H142*'FE Sectorial'!M142/1000/1000</f>
        <v>238.72828543689323</v>
      </c>
      <c r="M143" s="17">
        <f>'Datos Actividad'!$T139*'FE Sectorial'!$H142*'FE Sectorial'!N142/1000/1000</f>
        <v>59.682071359223308</v>
      </c>
      <c r="N143" s="17">
        <f>'Datos Actividad'!$T139*'FE Sectorial'!$H142*'FE Sectorial'!O142/1000/1000</f>
        <v>541.3339805825243</v>
      </c>
      <c r="O143" s="87">
        <f>IF(D143&lt;400,H143+I143*'Factores generales'!$M$41+J143*'Factores generales'!$N$41,I143*'Factores generales'!$M$41+J143*'Factores generales'!$N$41)</f>
        <v>847891.25138621358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Actividad'!$T140*'FE Sectorial'!$H143*'FE Sectorial'!I143*'FE Sectorial'!P143/1000</f>
        <v>643883.52000000002</v>
      </c>
      <c r="I144" s="17">
        <f>'Datos Actividad'!$T140*'FE Sectorial'!$H143*'FE Sectorial'!J143/1000/1000</f>
        <v>1321.6</v>
      </c>
      <c r="J144" s="17">
        <f>'Datos Actividad'!$T140*'FE Sectorial'!$H143*'FE Sectorial'!K143/1000/1000</f>
        <v>26.431999999999999</v>
      </c>
      <c r="K144" s="17">
        <f>'Datos Actividad'!$T140*'FE Sectorial'!$H143*'FE Sectorial'!L143/1000/1000</f>
        <v>660.8</v>
      </c>
      <c r="L144" s="17">
        <f>'Datos Actividad'!$T140*'FE Sectorial'!$H143*'FE Sectorial'!M143/1000/1000</f>
        <v>46256</v>
      </c>
      <c r="M144" s="17">
        <f>'Datos Actividad'!$T140*'FE Sectorial'!$H143*'FE Sectorial'!N143/1000/1000</f>
        <v>660.8</v>
      </c>
      <c r="N144" s="17">
        <f>'Datos Actividad'!$T140*'FE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35947.519999999997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8044742.1255882336</v>
      </c>
      <c r="I145" s="134">
        <f t="shared" ref="I145:O145" si="39">SUM(I146:I149)</f>
        <v>328.9879411764706</v>
      </c>
      <c r="J145" s="134">
        <f t="shared" si="39"/>
        <v>65.797588235294114</v>
      </c>
      <c r="K145" s="134">
        <f t="shared" si="39"/>
        <v>131595.17647058822</v>
      </c>
      <c r="L145" s="134">
        <f t="shared" si="39"/>
        <v>109662.64705882352</v>
      </c>
      <c r="M145" s="134">
        <f t="shared" si="39"/>
        <v>21932.529411764706</v>
      </c>
      <c r="N145" s="134">
        <f t="shared" si="39"/>
        <v>3978.4588235294113</v>
      </c>
      <c r="O145" s="134">
        <f t="shared" si="39"/>
        <v>8072048.1247058799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Actividad'!$T142*'FE Sectorial'!$H145*'FE Sectorial'!I145*'FE Sectorial'!P145/1000</f>
        <v>0</v>
      </c>
      <c r="I146" s="17">
        <f>'Datos Actividad'!$T142*'FE Sectorial'!$H145*'FE Sectorial'!J145/1000/1000</f>
        <v>0</v>
      </c>
      <c r="J146" s="17">
        <f>'Datos Actividad'!$T142*'FE Sectorial'!$H145*'FE Sectorial'!K145/1000/1000</f>
        <v>0</v>
      </c>
      <c r="K146" s="17">
        <f>'Datos Actividad'!$T142*'FE Sectorial'!$H145*'FE Sectorial'!L145/1000/1000</f>
        <v>0</v>
      </c>
      <c r="L146" s="17">
        <f>'Datos Actividad'!$T142*'FE Sectorial'!$H145*'FE Sectorial'!M145/1000/1000</f>
        <v>0</v>
      </c>
      <c r="M146" s="17">
        <f>'Datos Actividad'!$T142*'FE Sectorial'!$H145*'FE Sectorial'!N145/1000/1000</f>
        <v>0</v>
      </c>
      <c r="N146" s="17">
        <f>'Datos Actividad'!$T142*'FE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Actividad'!$T143*'FE Sectorial'!$H146*'FE Sectorial'!I146*'FE Sectorial'!P146/1000</f>
        <v>0</v>
      </c>
      <c r="I147" s="17">
        <f>'Datos Actividad'!$T143*'FE Sectorial'!$H146*'FE Sectorial'!J146/1000/1000</f>
        <v>0</v>
      </c>
      <c r="J147" s="17">
        <f>'Datos Actividad'!$T143*'FE Sectorial'!$H146*'FE Sectorial'!K146/1000/1000</f>
        <v>0</v>
      </c>
      <c r="K147" s="17">
        <f>'Datos Actividad'!$T143*'FE Sectorial'!$H146*'FE Sectorial'!L146/1000/1000</f>
        <v>0</v>
      </c>
      <c r="L147" s="17">
        <f>'Datos Actividad'!$T143*'FE Sectorial'!$H146*'FE Sectorial'!M146/1000/1000</f>
        <v>0</v>
      </c>
      <c r="M147" s="17">
        <f>'Datos Actividad'!$T143*'FE Sectorial'!$H146*'FE Sectorial'!N146/1000/1000</f>
        <v>0</v>
      </c>
      <c r="N147" s="17">
        <f>'Datos Actividad'!$T143*'FE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Actividad'!$T144*'FE Sectorial'!$H147*'FE Sectorial'!I147*'FE Sectorial'!P147/1000</f>
        <v>8044742.1255882336</v>
      </c>
      <c r="I148" s="17">
        <f>'Datos Actividad'!$T144*'FE Sectorial'!$H147*'FE Sectorial'!J147/1000/1000</f>
        <v>328.9879411764706</v>
      </c>
      <c r="J148" s="17">
        <f>'Datos Actividad'!$T144*'FE Sectorial'!$H147*'FE Sectorial'!K147/1000/1000</f>
        <v>65.797588235294114</v>
      </c>
      <c r="K148" s="17">
        <f>'Datos Actividad'!$T144*'FE Sectorial'!$H147*'FE Sectorial'!L147/1000/1000</f>
        <v>131595.17647058822</v>
      </c>
      <c r="L148" s="17">
        <f>'Datos Actividad'!$T144*'FE Sectorial'!$H147*'FE Sectorial'!M147/1000/1000</f>
        <v>109662.64705882352</v>
      </c>
      <c r="M148" s="17">
        <f>'Datos Actividad'!$T144*'FE Sectorial'!$H147*'FE Sectorial'!N147/1000/1000</f>
        <v>21932.529411764706</v>
      </c>
      <c r="N148" s="17">
        <f>'Datos Actividad'!$T144*'FE Sectorial'!$H147*'FE Sectorial'!O147/1000/1000</f>
        <v>3978.4588235294113</v>
      </c>
      <c r="O148" s="87">
        <f>IF(D148&lt;400,H148+I148*'Factores generales'!$M$41+J148*'Factores generales'!$N$41,I148*'Factores generales'!$M$41+J148*'Factores generales'!$N$41)</f>
        <v>8072048.1247058799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Actividad'!$T145*'FE Sectorial'!$H148*'FE Sectorial'!I148*'FE Sectorial'!P148/1000</f>
        <v>0</v>
      </c>
      <c r="I149" s="17">
        <f>'Datos Actividad'!$T145*'FE Sectorial'!$H148*'FE Sectorial'!J148/1000/1000</f>
        <v>0</v>
      </c>
      <c r="J149" s="17">
        <f>'Datos Actividad'!$T145*'FE Sectorial'!$H148*'FE Sectorial'!K148/1000/1000</f>
        <v>0</v>
      </c>
      <c r="K149" s="17">
        <f>'Datos Actividad'!$T145*'FE Sectorial'!$H148*'FE Sectorial'!L148/1000/1000</f>
        <v>0</v>
      </c>
      <c r="L149" s="17">
        <f>'Datos Actividad'!$T145*'FE Sectorial'!$H148*'FE Sectorial'!M148/1000/1000</f>
        <v>0</v>
      </c>
      <c r="M149" s="17">
        <f>'Datos Actividad'!$T145*'FE Sectorial'!$H148*'FE Sectorial'!N148/1000/1000</f>
        <v>0</v>
      </c>
      <c r="N149" s="17">
        <f>'Datos Actividad'!$T145*'FE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Actividad'!$T147*'FE Sectorial'!$H150*'FE Sectorial'!I150*'FE Sectorial'!P150/1000</f>
        <v>0</v>
      </c>
      <c r="I151" s="134">
        <f>'Datos Actividad'!$T147*'FE Sectorial'!$H150*'FE Sectorial'!J150/1000/1000</f>
        <v>0</v>
      </c>
      <c r="J151" s="134">
        <f>'Datos Actividad'!$T147*'FE Sectorial'!$H150*'FE Sectorial'!K150/1000/1000</f>
        <v>0</v>
      </c>
      <c r="K151" s="134">
        <f>'Datos Actividad'!$T147*'FE Sectorial'!$H150*'FE Sectorial'!L150/1000/1000</f>
        <v>0</v>
      </c>
      <c r="L151" s="134">
        <f>'Datos Actividad'!$T147*'FE Sectorial'!$H150*'FE Sectorial'!M150/1000/1000</f>
        <v>0</v>
      </c>
      <c r="M151" s="134">
        <f>'Datos Actividad'!$T147*'FE Sectorial'!$H150*'FE Sectorial'!N150/1000/1000</f>
        <v>0</v>
      </c>
      <c r="N151" s="134">
        <f>'Datos Actividad'!$T147*'FE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Actividad'!$T148*'FE Sectorial'!$H151*'FE Sectorial'!I151*'FE Sectorial'!P151/1000</f>
        <v>0</v>
      </c>
      <c r="I152" s="134">
        <f>'Datos Actividad'!$T148*'FE Sectorial'!$H151*'FE Sectorial'!J151/1000/1000</f>
        <v>0</v>
      </c>
      <c r="J152" s="134">
        <f>'Datos Actividad'!$T148*'FE Sectorial'!$H151*'FE Sectorial'!K151/1000/1000</f>
        <v>0</v>
      </c>
      <c r="K152" s="134">
        <f>'Datos Actividad'!$T148*'FE Sectorial'!$H151*'FE Sectorial'!L151/1000/1000</f>
        <v>0</v>
      </c>
      <c r="L152" s="134">
        <f>'Datos Actividad'!$T148*'FE Sectorial'!$H151*'FE Sectorial'!M151/1000/1000</f>
        <v>0</v>
      </c>
      <c r="M152" s="134">
        <f>'Datos Actividad'!$T148*'FE Sectorial'!$H151*'FE Sectorial'!N151/1000/1000</f>
        <v>0</v>
      </c>
      <c r="N152" s="134">
        <f>'Datos Actividad'!$T148*'FE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4838195.3987280838</v>
      </c>
      <c r="I153" s="124">
        <f t="shared" ref="I153:N153" si="41">I154+I168</f>
        <v>296078.94007643533</v>
      </c>
      <c r="J153" s="124">
        <f t="shared" si="41"/>
        <v>38.961978146307786</v>
      </c>
      <c r="K153" s="124">
        <f t="shared" si="41"/>
        <v>1515.5960236552642</v>
      </c>
      <c r="L153" s="124">
        <f t="shared" si="41"/>
        <v>2424.9445600000004</v>
      </c>
      <c r="M153" s="124">
        <f t="shared" si="41"/>
        <v>121577.71251516652</v>
      </c>
      <c r="N153" s="124">
        <f t="shared" si="41"/>
        <v>24249.445600000003</v>
      </c>
      <c r="O153" s="124">
        <f>IF(D153&lt;400,H153+I153*'Factores generales'!$M$41+J153*'Factores generales'!$N$41,I153*'Factores generales'!$M$41+J153*'Factores generales'!$N$41)</f>
        <v>11067931.353558581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4838195.3987280838</v>
      </c>
      <c r="I168" s="129">
        <f t="shared" ref="I168:O168" si="44">I169+I188+I204</f>
        <v>293367.34869607625</v>
      </c>
      <c r="J168" s="129">
        <f t="shared" si="44"/>
        <v>38.961978146307786</v>
      </c>
      <c r="K168" s="129">
        <f t="shared" si="44"/>
        <v>1515.5960236552642</v>
      </c>
      <c r="L168" s="129">
        <f t="shared" si="44"/>
        <v>2424.9445600000004</v>
      </c>
      <c r="M168" s="129">
        <f t="shared" si="44"/>
        <v>121577.71251516652</v>
      </c>
      <c r="N168" s="129">
        <f t="shared" si="44"/>
        <v>24249.445600000003</v>
      </c>
      <c r="O168" s="129">
        <f t="shared" si="44"/>
        <v>11010987.934571039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42069.051255763101</v>
      </c>
      <c r="I169" s="134">
        <f t="shared" ref="I169:O169" si="45">SUM(I170:I187)</f>
        <v>16492.191391581102</v>
      </c>
      <c r="J169" s="134">
        <f t="shared" si="45"/>
        <v>0.2935978342903775</v>
      </c>
      <c r="K169" s="134">
        <f t="shared" si="45"/>
        <v>1515.5960236552642</v>
      </c>
      <c r="L169" s="134">
        <f t="shared" si="45"/>
        <v>2424.9445600000004</v>
      </c>
      <c r="M169" s="134">
        <f t="shared" si="45"/>
        <v>74755.324931700219</v>
      </c>
      <c r="N169" s="134">
        <f t="shared" si="45"/>
        <v>24249.445600000003</v>
      </c>
      <c r="O169" s="134">
        <f t="shared" si="45"/>
        <v>388496.08580759622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Actividad'!$T167*'FE Sectorial'!I170*1000</f>
        <v>1449.3357114516261</v>
      </c>
      <c r="I171" s="92">
        <f>'Datos Actividad'!$T167*'FE Sectorial'!J170*1000</f>
        <v>30.775668343135617</v>
      </c>
      <c r="J171" s="92">
        <f>'Datos Actividad'!$T167*'FE Sectorial'!K170*1000</f>
        <v>1.0666339578318328E-2</v>
      </c>
      <c r="K171" s="92">
        <f>'Datos Actividad'!$T167*'FE Sectorial'!L170*1000</f>
        <v>0</v>
      </c>
      <c r="L171" s="92">
        <f>'Datos Actividad'!$T167*'FE Sectorial'!M170*1000</f>
        <v>0</v>
      </c>
      <c r="M171" s="92">
        <f>'Datos Actividad'!$T167*'FE Sectorial'!N170*1000</f>
        <v>4.742206032405762</v>
      </c>
      <c r="N171" s="92">
        <f>'Datos Actividad'!$T167*'FE Sectorial'!O170*1000</f>
        <v>0</v>
      </c>
      <c r="O171" s="87">
        <f>IF(D171&lt;400,H171+I171*'Factores generales'!$M$41+J171*'Factores generales'!$N$41,I171*'Factores generales'!$M$41+J171*'Factores generales'!$N$41)</f>
        <v>2098.9313119267526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Actividad'!$T168*'FE Sectorial'!I171*1000</f>
        <v>3121.6461477419643</v>
      </c>
      <c r="I172" s="92">
        <f>'Datos Actividad'!$T168*'FE Sectorial'!J171*1000</f>
        <v>66.286054892907487</v>
      </c>
      <c r="J172" s="92">
        <f>'Datos Actividad'!$T168*'FE Sectorial'!K171*1000</f>
        <v>2.2973654476377937E-2</v>
      </c>
      <c r="K172" s="92">
        <f>'Datos Actividad'!$T168*'FE Sectorial'!L171*1000</f>
        <v>0</v>
      </c>
      <c r="L172" s="92">
        <f>'Datos Actividad'!$T168*'FE Sectorial'!M171*1000</f>
        <v>0</v>
      </c>
      <c r="M172" s="92">
        <f>'Datos Actividad'!$T168*'FE Sectorial'!N171*1000</f>
        <v>10.21398222364318</v>
      </c>
      <c r="N172" s="92">
        <f>'Datos Actividad'!$T168*'FE Sectorial'!O171*1000</f>
        <v>0</v>
      </c>
      <c r="O172" s="87">
        <f>IF(D172&lt;400,H172+I172*'Factores generales'!$M$41+J172*'Factores generales'!$N$41,I172*'Factores generales'!$M$41+J172*'Factores generales'!$N$41)</f>
        <v>4520.7751333806991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Actividad'!$T169*'FE Sectorial'!I172*1000</f>
        <v>35322.912659865913</v>
      </c>
      <c r="I173" s="92">
        <f>'Datos Actividad'!$T169*'FE Sectorial'!J172*1000</f>
        <v>750.0582759012924</v>
      </c>
      <c r="J173" s="92">
        <f>'Datos Actividad'!$T169*'FE Sectorial'!K172*1000</f>
        <v>0.25995784023568125</v>
      </c>
      <c r="K173" s="92">
        <f>'Datos Actividad'!$T169*'FE Sectorial'!L172*1000</f>
        <v>0</v>
      </c>
      <c r="L173" s="92">
        <f>'Datos Actividad'!$T169*'FE Sectorial'!M172*1000</f>
        <v>0</v>
      </c>
      <c r="M173" s="92">
        <f>'Datos Actividad'!$T169*'FE Sectorial'!N172*1000</f>
        <v>115.57607266158146</v>
      </c>
      <c r="N173" s="92">
        <f>'Datos Actividad'!$T169*'FE Sectorial'!O172*1000</f>
        <v>0</v>
      </c>
      <c r="O173" s="87">
        <f>IF(D173&lt;400,H173+I173*'Factores generales'!$M$41+J173*'Factores generales'!$N$41,I173*'Factores generales'!$M$41+J173*'Factores generales'!$N$41)</f>
        <v>51154.723384266108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Actividad'!$T171*'FE Sectorial'!I174</f>
        <v>1052.6947897229466</v>
      </c>
      <c r="I175" s="92">
        <f>'Datos Actividad'!$T171*'FE Sectorial'!J174</f>
        <v>14520.8874</v>
      </c>
      <c r="J175" s="92">
        <f>'Datos Actividad'!$T171*'FE Sectorial'!K174</f>
        <v>0</v>
      </c>
      <c r="K175" s="92">
        <f>'Datos Actividad'!$T171*'FE Sectorial'!L174</f>
        <v>0</v>
      </c>
      <c r="L175" s="92">
        <f>'Datos Actividad'!$T171*'FE Sectorial'!M174</f>
        <v>0</v>
      </c>
      <c r="M175" s="92">
        <f>'Datos Actividad'!$T171*'FE Sectorial'!N174</f>
        <v>17784.382371204745</v>
      </c>
      <c r="N175" s="92">
        <f>'Datos Actividad'!$T171*'FE Sectorial'!O174</f>
        <v>0</v>
      </c>
      <c r="O175" s="87">
        <f>IF(D175&lt;400,H175+I175*'Factores generales'!$M$41+J175*'Factores generales'!$N$41,I175*'Factores generales'!$M$41+J175*'Factores generales'!$N$41)</f>
        <v>305991.33018972294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Actividad'!$T173*'FE Sectorial'!I176</f>
        <v>0</v>
      </c>
      <c r="I177" s="92">
        <f>'Datos Actividad'!$T173*'FE Sectorial'!J176</f>
        <v>580.3972238319526</v>
      </c>
      <c r="J177" s="92">
        <f>'Datos Actividad'!$T173*'FE Sectorial'!K176</f>
        <v>0</v>
      </c>
      <c r="K177" s="92">
        <f>'Datos Actividad'!$T173*'FE Sectorial'!L176</f>
        <v>0</v>
      </c>
      <c r="L177" s="92">
        <f>'Datos Actividad'!$T173*'FE Sectorial'!M176</f>
        <v>0</v>
      </c>
      <c r="M177" s="92">
        <f>'Datos Actividad'!$T173*'FE Sectorial'!N176</f>
        <v>0</v>
      </c>
      <c r="N177" s="92">
        <f>'Datos Actividad'!$T173*'FE Sectorial'!O176</f>
        <v>0</v>
      </c>
      <c r="O177" s="87">
        <f>IF(D177&lt;400,H177+I177*'Factores generales'!$M$41+J177*'Factores generales'!$N$41,I177*'Factores generales'!$M$41+J177*'Factores generales'!$N$41)</f>
        <v>12188.341700471005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Actividad'!$T174*'FE Sectorial'!I177</f>
        <v>13.520236310000001</v>
      </c>
      <c r="I178" s="92">
        <f>'Datos Actividad'!$T174*'FE Sectorial'!J177</f>
        <v>148.99852260000003</v>
      </c>
      <c r="J178" s="92">
        <f>'Datos Actividad'!$T174*'FE Sectorial'!K177</f>
        <v>0</v>
      </c>
      <c r="K178" s="92">
        <f>'Datos Actividad'!$T174*'FE Sectorial'!L177</f>
        <v>0</v>
      </c>
      <c r="L178" s="92">
        <f>'Datos Actividad'!$T174*'FE Sectorial'!M177</f>
        <v>0</v>
      </c>
      <c r="M178" s="92">
        <f>'Datos Actividad'!$T174*'FE Sectorial'!N177</f>
        <v>1489.9852260000002</v>
      </c>
      <c r="N178" s="92">
        <f>'Datos Actividad'!$T174*'FE Sectorial'!O177</f>
        <v>0</v>
      </c>
      <c r="O178" s="87">
        <f>IF(D178&lt;400,H178+I178*'Factores generales'!$M$41+J178*'Factores generales'!$N$41,I178*'Factores generales'!$M$41+J178*'Factores generales'!$N$41)</f>
        <v>3142.489210910001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Actividad'!$T177*'FE Sectorial'!I180</f>
        <v>0</v>
      </c>
      <c r="I181" s="92">
        <f>'Datos Actividad'!$T177*'FE Sectorial'!J180</f>
        <v>312.96115031792607</v>
      </c>
      <c r="J181" s="92">
        <f>'Datos Actividad'!$T177*'FE Sectorial'!K180</f>
        <v>0</v>
      </c>
      <c r="K181" s="92">
        <f>'Datos Actividad'!$T177*'FE Sectorial'!L180</f>
        <v>1515.5903500000002</v>
      </c>
      <c r="L181" s="92">
        <f>'Datos Actividad'!$T177*'FE Sectorial'!M180</f>
        <v>2424.9445600000004</v>
      </c>
      <c r="M181" s="92">
        <f>'Datos Actividad'!$T177*'FE Sectorial'!N180</f>
        <v>39405.349099999999</v>
      </c>
      <c r="N181" s="92">
        <f>'Datos Actividad'!$T177*'FE Sectorial'!O180</f>
        <v>24249.445600000003</v>
      </c>
      <c r="O181" s="87">
        <f>IF(D181&lt;400,H181+I181*'Factores generales'!$M$41+J181*'Factores generales'!$N$41,I181*'Factores generales'!$M$41+J181*'Factores generales'!$N$41)</f>
        <v>6572.1841566764479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Actividad'!$T179*'FE Sectorial'!I182</f>
        <v>0</v>
      </c>
      <c r="I183" s="92">
        <f>'Datos Actividad'!$T179*'FE Sectorial'!J182</f>
        <v>81.827095693887514</v>
      </c>
      <c r="J183" s="92">
        <f>'Datos Actividad'!$T179*'FE Sectorial'!K182</f>
        <v>0</v>
      </c>
      <c r="K183" s="92">
        <f>'Datos Actividad'!$T179*'FE Sectorial'!L182</f>
        <v>0</v>
      </c>
      <c r="L183" s="92">
        <f>'Datos Actividad'!$T179*'FE Sectorial'!M182</f>
        <v>0</v>
      </c>
      <c r="M183" s="92">
        <f>'Datos Actividad'!$T179*'FE Sectorial'!N182</f>
        <v>0</v>
      </c>
      <c r="N183" s="92">
        <f>'Datos Actividad'!$T179*'FE Sectorial'!O182</f>
        <v>0</v>
      </c>
      <c r="O183" s="87">
        <f>IF(D183&lt;400,H183+I183*'Factores generales'!$M$41+J183*'Factores generales'!$N$41,I183*'Factores generales'!$M$41+J183*'Factores generales'!$N$41)</f>
        <v>1718.3690095716379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Actividad'!$T181*'FE Sectorial'!I184</f>
        <v>0</v>
      </c>
      <c r="I185" s="92">
        <f>'Datos Actividad'!$T181*'FE Sectorial'!J184</f>
        <v>0</v>
      </c>
      <c r="J185" s="92">
        <f>'Datos Actividad'!$T181*'FE Sectorial'!K184</f>
        <v>0</v>
      </c>
      <c r="K185" s="92">
        <f>'Datos Actividad'!$T181*'FE Sectorial'!L184</f>
        <v>0</v>
      </c>
      <c r="L185" s="92">
        <f>'Datos Actividad'!$T181*'FE Sectorial'!M184</f>
        <v>0</v>
      </c>
      <c r="M185" s="92">
        <f>'Datos Actividad'!$T181*'FE Sectorial'!N184</f>
        <v>15945.075973577836</v>
      </c>
      <c r="N185" s="92">
        <f>'Datos Actividad'!$T181*'FE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Actividad'!$T182*'FE Sectorial'!I185</f>
        <v>1108.9417106706462</v>
      </c>
      <c r="I186" s="92">
        <f>'Datos Actividad'!$T182*'FE Sectorial'!J185</f>
        <v>0</v>
      </c>
      <c r="J186" s="92">
        <f>'Datos Actividad'!$T182*'FE Sectorial'!K185</f>
        <v>0</v>
      </c>
      <c r="K186" s="92">
        <f>'Datos Actividad'!$T182*'FE Sectorial'!L185</f>
        <v>5.6736552638963298E-3</v>
      </c>
      <c r="L186" s="92">
        <f>'Datos Actividad'!$T182*'FE Sectorial'!M185</f>
        <v>0</v>
      </c>
      <c r="M186" s="92">
        <f>'Datos Actividad'!$T182*'FE Sectorial'!N185</f>
        <v>0</v>
      </c>
      <c r="N186" s="92">
        <f>'Datos Actividad'!$T182*'FE Sectorial'!O185</f>
        <v>0</v>
      </c>
      <c r="O186" s="87">
        <f>IF(D186&lt;400,H186+I186*'Factores generales'!$M$41+J186*'Factores generales'!$N$41,I186*'Factores generales'!$M$41+J186*'Factores generales'!$N$41)</f>
        <v>1108.9417106706462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4523.0450729100958</v>
      </c>
      <c r="I188" s="134">
        <f t="shared" ref="I188:O188" si="46">SUM(I189:I203)</f>
        <v>229514.96823881642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20955.849176983025</v>
      </c>
      <c r="N188" s="134">
        <f t="shared" si="46"/>
        <v>0</v>
      </c>
      <c r="O188" s="134">
        <f t="shared" si="46"/>
        <v>4824337.3780880542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Actividad'!$T187*'FE Sectorial'!I190</f>
        <v>1861.0991760302318</v>
      </c>
      <c r="I191" s="92">
        <f>'Datos Actividad'!$T187*'FE Sectorial'!J190</f>
        <v>111960.97340241694</v>
      </c>
      <c r="J191" s="92">
        <f>'Datos Actividad'!$T187*'FE Sectorial'!K190</f>
        <v>0</v>
      </c>
      <c r="K191" s="92">
        <f>'Datos Actividad'!$T187*'FE Sectorial'!L190</f>
        <v>0</v>
      </c>
      <c r="L191" s="92">
        <f>'Datos Actividad'!$T187*'FE Sectorial'!M190</f>
        <v>0</v>
      </c>
      <c r="M191" s="92">
        <f>'Datos Actividad'!$T187*'FE Sectorial'!N190</f>
        <v>12251.254610483138</v>
      </c>
      <c r="N191" s="92">
        <f>'Datos Actividad'!$T187*'FE Sectorial'!O190</f>
        <v>0</v>
      </c>
      <c r="O191" s="87">
        <f>IF(D191&lt;400,H191+I191*'Factores generales'!$M$41+J191*'Factores generales'!$N$41,I191*'Factores generales'!$M$41+J191*'Factores generales'!$N$41)</f>
        <v>2353041.5406267862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Actividad'!$T189*'FE Sectorial'!I192</f>
        <v>679.57733364402395</v>
      </c>
      <c r="I193" s="92">
        <f>'Datos Actividad'!$T189*'FE Sectorial'!J192</f>
        <v>8494.7166705503005</v>
      </c>
      <c r="J193" s="92">
        <f>'Datos Actividad'!$T189*'FE Sectorial'!K192</f>
        <v>0</v>
      </c>
      <c r="K193" s="92">
        <f>'Datos Actividad'!$T189*'FE Sectorial'!L192</f>
        <v>0</v>
      </c>
      <c r="L193" s="92">
        <f>'Datos Actividad'!$T189*'FE Sectorial'!M192</f>
        <v>0</v>
      </c>
      <c r="M193" s="92">
        <f>'Datos Actividad'!$T189*'FE Sectorial'!N192</f>
        <v>7847.0831302909073</v>
      </c>
      <c r="N193" s="92">
        <f>'Datos Actividad'!$T189*'FE Sectorial'!O192</f>
        <v>0</v>
      </c>
      <c r="O193" s="87">
        <f>IF(D193&lt;400,H193+I193*'Factores generales'!$M$41+J193*'Factores generales'!$N$41,I193*'Factores generales'!$M$41+J193*'Factores generales'!$N$41)</f>
        <v>179068.62741520035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Actividad'!$T192*'FE Sectorial'!I195</f>
        <v>41.144755448997692</v>
      </c>
      <c r="I196" s="92">
        <f>'Datos Actividad'!$T192*'FE Sectorial'!J195</f>
        <v>12801.880286232075</v>
      </c>
      <c r="J196" s="92">
        <f>'Datos Actividad'!$T192*'FE Sectorial'!K195</f>
        <v>0</v>
      </c>
      <c r="K196" s="92">
        <f>'Datos Actividad'!$T192*'FE Sectorial'!L195</f>
        <v>0</v>
      </c>
      <c r="L196" s="92">
        <f>'Datos Actividad'!$T192*'FE Sectorial'!M195</f>
        <v>0</v>
      </c>
      <c r="M196" s="92">
        <f>'Datos Actividad'!$T192*'FE Sectorial'!N195</f>
        <v>306.14827620897933</v>
      </c>
      <c r="N196" s="92">
        <f>'Datos Actividad'!$T192*'FE Sectorial'!O195</f>
        <v>0</v>
      </c>
      <c r="O196" s="87">
        <f>IF(D196&lt;400,H196+I196*'Factores generales'!$M$41+J196*'Factores generales'!$N$41,I196*'Factores generales'!$M$41+J196*'Factores generales'!$N$41)</f>
        <v>268880.63076632255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Actividad'!$T194*'FE Sectorial'!I197</f>
        <v>1941.2238077868421</v>
      </c>
      <c r="I198" s="92">
        <f>'Datos Actividad'!$T194*'FE Sectorial'!J197</f>
        <v>38097.181769681061</v>
      </c>
      <c r="J198" s="92">
        <f>'Datos Actividad'!$T194*'FE Sectorial'!K197</f>
        <v>0</v>
      </c>
      <c r="K198" s="92">
        <f>'Datos Actividad'!$T194*'FE Sectorial'!L197</f>
        <v>0</v>
      </c>
      <c r="L198" s="92">
        <f>'Datos Actividad'!$T194*'FE Sectorial'!M197</f>
        <v>0</v>
      </c>
      <c r="M198" s="92">
        <f>'Datos Actividad'!$T194*'FE Sectorial'!N197</f>
        <v>551.36316000000011</v>
      </c>
      <c r="N198" s="92">
        <f>'Datos Actividad'!$T194*'FE Sectorial'!O197</f>
        <v>0</v>
      </c>
      <c r="O198" s="87">
        <f>IF(D198&lt;400,H198+I198*'Factores generales'!$M$41+J198*'Factores generales'!$N$41,I198*'Factores generales'!$M$41+J198*'Factores generales'!$N$41)</f>
        <v>801982.04097108915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Actividad'!$T197*'FE Sectorial'!I200</f>
        <v>0</v>
      </c>
      <c r="I201" s="92">
        <f>'Datos Actividad'!$T197*'FE Sectorial'!J200</f>
        <v>47246.549662199999</v>
      </c>
      <c r="J201" s="92">
        <f>'Datos Actividad'!$T197*'FE Sectorial'!K200</f>
        <v>0</v>
      </c>
      <c r="K201" s="92">
        <f>'Datos Actividad'!$T197*'FE Sectorial'!L200</f>
        <v>0</v>
      </c>
      <c r="L201" s="92">
        <f>'Datos Actividad'!$T197*'FE Sectorial'!M200</f>
        <v>0</v>
      </c>
      <c r="M201" s="92">
        <f>'Datos Actividad'!$T197*'FE Sectorial'!N200</f>
        <v>0</v>
      </c>
      <c r="N201" s="92">
        <f>'Datos Actividad'!$T197*'FE Sectorial'!O200</f>
        <v>0</v>
      </c>
      <c r="O201" s="87">
        <f>IF(D201&lt;400,H201+I201*'Factores generales'!$M$41+J201*'Factores generales'!$N$41,I201*'Factores generales'!$M$41+J201*'Factores generales'!$N$41)</f>
        <v>992177.54290619993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Actividad'!$T199*'FE Sectorial'!I202</f>
        <v>0</v>
      </c>
      <c r="I203" s="92">
        <f>'Datos Actividad'!$T199*'FE Sectorial'!J202</f>
        <v>10913.666447735999</v>
      </c>
      <c r="J203" s="92">
        <f>'Datos Actividad'!$T199*'FE Sectorial'!K202</f>
        <v>0</v>
      </c>
      <c r="K203" s="92">
        <f>'Datos Actividad'!$T199*'FE Sectorial'!L202</f>
        <v>0</v>
      </c>
      <c r="L203" s="92">
        <f>'Datos Actividad'!$T199*'FE Sectorial'!M202</f>
        <v>0</v>
      </c>
      <c r="M203" s="92">
        <f>'Datos Actividad'!$T199*'FE Sectorial'!N202</f>
        <v>0</v>
      </c>
      <c r="N203" s="92">
        <f>'Datos Actividad'!$T199*'FE Sectorial'!O202</f>
        <v>0</v>
      </c>
      <c r="O203" s="87">
        <f>IF(D203&lt;400,H203+I203*'Factores generales'!$M$41+J203*'Factores generales'!$N$41,I203*'Factores generales'!$M$41+J203*'Factores generales'!$N$41)</f>
        <v>229186.99540245597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4791603.3023994109</v>
      </c>
      <c r="I204" s="134">
        <f t="shared" ref="I204:O204" si="47">SUM(I205:I221)</f>
        <v>47360.189065678722</v>
      </c>
      <c r="J204" s="134">
        <f t="shared" si="47"/>
        <v>38.668380312017405</v>
      </c>
      <c r="K204" s="134">
        <f t="shared" si="47"/>
        <v>0</v>
      </c>
      <c r="L204" s="134">
        <f t="shared" si="47"/>
        <v>0</v>
      </c>
      <c r="M204" s="134">
        <f t="shared" si="47"/>
        <v>25866.538406483272</v>
      </c>
      <c r="N204" s="134">
        <f t="shared" si="47"/>
        <v>0</v>
      </c>
      <c r="O204" s="134">
        <f t="shared" si="47"/>
        <v>5798154.4706753884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Actividad'!$T203*'FE Sectorial'!I206</f>
        <v>5379.0475307343759</v>
      </c>
      <c r="I207" s="92">
        <f>'Datos Actividad'!$T203*'FE Sectorial'!J206</f>
        <v>40865.399464548878</v>
      </c>
      <c r="J207" s="92">
        <f>'Datos Actividad'!$T203*'FE Sectorial'!K206</f>
        <v>0</v>
      </c>
      <c r="K207" s="92">
        <f>'Datos Actividad'!$T203*'FE Sectorial'!L206</f>
        <v>0</v>
      </c>
      <c r="L207" s="92">
        <f>'Datos Actividad'!$T203*'FE Sectorial'!M206</f>
        <v>0</v>
      </c>
      <c r="M207" s="92">
        <f>'Datos Actividad'!$T203*'FE Sectorial'!N206</f>
        <v>24379.912166722323</v>
      </c>
      <c r="N207" s="92">
        <f>'Datos Actividad'!$T203*'FE Sectorial'!O206</f>
        <v>0</v>
      </c>
      <c r="O207" s="87">
        <f>IF(D207&lt;400,H207+I207*'Factores generales'!$M$41+J207*'Factores generales'!$N$41,I207*'Factores generales'!$M$41+J207*'Factores generales'!$N$41)</f>
        <v>863552.43628626072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 x14ac:dyDescent="0.25">
      <c r="A209" s="20"/>
      <c r="E209" s="27" t="s">
        <v>17</v>
      </c>
      <c r="F209" s="27" t="s">
        <v>127</v>
      </c>
      <c r="H209" s="92">
        <f>'Datos Actividad'!$T205*'FE Sectorial'!I208</f>
        <v>2319304.8967032894</v>
      </c>
      <c r="I209" s="92">
        <f>'Datos Actividad'!$T205*'FE Sectorial'!J208</f>
        <v>1411.1765983310877</v>
      </c>
      <c r="J209" s="92">
        <f>'Datos Actividad'!$T205*'FE Sectorial'!K208</f>
        <v>36.324799524043449</v>
      </c>
      <c r="K209" s="92">
        <f>'Datos Actividad'!$T205*'FE Sectorial'!L208</f>
        <v>0</v>
      </c>
      <c r="L209" s="92">
        <f>'Datos Actividad'!$T205*'FE Sectorial'!M208</f>
        <v>0</v>
      </c>
      <c r="M209" s="92">
        <f>'Datos Actividad'!$T205*'FE Sectorial'!N208</f>
        <v>1194.4845846549074</v>
      </c>
      <c r="N209" s="92">
        <f>'Datos Actividad'!$T205*'FE Sectorial'!O208</f>
        <v>0</v>
      </c>
      <c r="O209" s="87">
        <f>IF(D209&lt;400,H209+I209*'Factores generales'!$M$41+J209*'Factores generales'!$N$41,I209*'Factores generales'!$M$41+J209*'Factores generales'!$N$41)</f>
        <v>2360200.2931206957</v>
      </c>
    </row>
    <row r="210" spans="1:16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 x14ac:dyDescent="0.25">
      <c r="A213" s="20"/>
      <c r="B213" s="28"/>
      <c r="E213" s="27" t="s">
        <v>17</v>
      </c>
      <c r="F213" s="11" t="s">
        <v>8</v>
      </c>
      <c r="H213" s="92">
        <f>'Datos Actividad'!$T209*'FE Sectorial'!I212</f>
        <v>2285393.7995103379</v>
      </c>
      <c r="I213" s="92">
        <f>'Datos Actividad'!$T209*'FE Sectorial'!J212</f>
        <v>0</v>
      </c>
      <c r="J213" s="92">
        <f>'Datos Actividad'!$T209*'FE Sectorial'!K212</f>
        <v>0</v>
      </c>
      <c r="K213" s="92">
        <f>'Datos Actividad'!$T209*'FE Sectorial'!L212</f>
        <v>0</v>
      </c>
      <c r="L213" s="92">
        <f>'Datos Actividad'!$T209*'FE Sectorial'!M212</f>
        <v>0</v>
      </c>
      <c r="M213" s="92">
        <f>'Datos Actividad'!$T209*'FE Sectorial'!N212</f>
        <v>0</v>
      </c>
      <c r="N213" s="92">
        <f>'Datos Actividad'!$T209*'FE Sectorial'!O212</f>
        <v>0</v>
      </c>
      <c r="O213" s="87">
        <f>IF(D213&lt;400,H213+I213*'Factores generales'!$M$41+J213*'Factores generales'!$N$41,I213*'Factores generales'!$M$41+J213*'Factores generales'!$N$41)</f>
        <v>2285393.7995103379</v>
      </c>
    </row>
    <row r="214" spans="1:16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 x14ac:dyDescent="0.25">
      <c r="A215" s="20"/>
      <c r="B215" s="28"/>
      <c r="E215" s="27" t="s">
        <v>164</v>
      </c>
      <c r="F215" s="11" t="s">
        <v>8</v>
      </c>
      <c r="H215" s="92">
        <f>'Datos Actividad'!$T211*'FE Sectorial'!I214</f>
        <v>130.85590327910626</v>
      </c>
      <c r="I215" s="92">
        <f>'Datos Actividad'!$T211*'FE Sectorial'!J214</f>
        <v>4963.5595972103347</v>
      </c>
      <c r="J215" s="92">
        <f>'Datos Actividad'!$T211*'FE Sectorial'!K214</f>
        <v>0</v>
      </c>
      <c r="K215" s="92">
        <f>'Datos Actividad'!$T211*'FE Sectorial'!L214</f>
        <v>0</v>
      </c>
      <c r="L215" s="92">
        <f>'Datos Actividad'!$T211*'FE Sectorial'!M214</f>
        <v>0</v>
      </c>
      <c r="M215" s="92">
        <f>'Datos Actividad'!$T211*'FE Sectorial'!N214</f>
        <v>195.67092637245901</v>
      </c>
      <c r="N215" s="92">
        <f>'Datos Actividad'!$T211*'FE Sectorial'!O214</f>
        <v>0</v>
      </c>
      <c r="O215" s="87">
        <f>IF(D215&lt;400,H215+I215*'Factores generales'!$M$41+J215*'Factores generales'!$N$41,I215*'Factores generales'!$M$41+J215*'Factores generales'!$N$41)</f>
        <v>104365.60744469614</v>
      </c>
    </row>
    <row r="216" spans="1:16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 x14ac:dyDescent="0.25">
      <c r="A218" s="20"/>
      <c r="B218" s="28"/>
      <c r="E218" s="27" t="s">
        <v>17</v>
      </c>
      <c r="F218" s="11" t="s">
        <v>8</v>
      </c>
      <c r="H218" s="92">
        <f>'Datos Actividad'!$T214*'FE Sectorial'!I217</f>
        <v>51371.217755955862</v>
      </c>
      <c r="I218" s="92">
        <f>'Datos Actividad'!$T214*'FE Sectorial'!J217</f>
        <v>32.320349066308978</v>
      </c>
      <c r="J218" s="92">
        <f>'Datos Actividad'!$T214*'FE Sectorial'!K217</f>
        <v>0.91490898521652542</v>
      </c>
      <c r="K218" s="92">
        <f>'Datos Actividad'!$T214*'FE Sectorial'!L217</f>
        <v>0</v>
      </c>
      <c r="L218" s="92">
        <f>'Datos Actividad'!$T214*'FE Sectorial'!M217</f>
        <v>0</v>
      </c>
      <c r="M218" s="92">
        <f>'Datos Actividad'!$T214*'FE Sectorial'!N217</f>
        <v>26.913771076536641</v>
      </c>
      <c r="N218" s="92">
        <f>'Datos Actividad'!$T214*'FE Sectorial'!O217</f>
        <v>0</v>
      </c>
      <c r="O218" s="87">
        <f>IF(D218&lt;400,H218+I218*'Factores generales'!$M$41+J218*'Factores generales'!$N$41,I218*'Factores generales'!$M$41+J218*'Factores generales'!$N$41)</f>
        <v>52333.566871765477</v>
      </c>
    </row>
    <row r="219" spans="1:16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 x14ac:dyDescent="0.25">
      <c r="A220" s="20"/>
      <c r="E220" s="27" t="s">
        <v>17</v>
      </c>
      <c r="F220" s="11" t="s">
        <v>8</v>
      </c>
      <c r="H220" s="92">
        <f>'Datos Actividad'!$T216*'FE Sectorial'!I219</f>
        <v>130023.48499581433</v>
      </c>
      <c r="I220" s="92">
        <f>'Datos Actividad'!$T216*'FE Sectorial'!J219</f>
        <v>87.733056522111539</v>
      </c>
      <c r="J220" s="92">
        <f>'Datos Actividad'!$T216*'FE Sectorial'!K219</f>
        <v>1.4286718027574314</v>
      </c>
      <c r="K220" s="92">
        <f>'Datos Actividad'!$T216*'FE Sectorial'!L219</f>
        <v>0</v>
      </c>
      <c r="L220" s="92">
        <f>'Datos Actividad'!$T216*'FE Sectorial'!M219</f>
        <v>0</v>
      </c>
      <c r="M220" s="92">
        <f>'Datos Actividad'!$T216*'FE Sectorial'!N219</f>
        <v>69.556957657050361</v>
      </c>
      <c r="N220" s="92">
        <f>'Datos Actividad'!$T216*'FE Sectorial'!O219</f>
        <v>0</v>
      </c>
      <c r="O220" s="87">
        <f>IF(D220&lt;400,H220+I220*'Factores generales'!$M$41+J220*'Factores generales'!$N$41,I220*'Factores generales'!$M$41+J220*'Factores generales'!$N$41)</f>
        <v>132308.76744163348</v>
      </c>
    </row>
    <row r="221" spans="1:16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9685724.2548454572</v>
      </c>
      <c r="O223" s="23" t="s">
        <v>237</v>
      </c>
      <c r="P223" s="141">
        <f>+N223/11009100-1</f>
        <v>-0.12020744158510166</v>
      </c>
    </row>
    <row r="224" spans="1:16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4577791.4367009401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2599551.2483540997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1978240.18834684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2"/>
  <sheetViews>
    <sheetView zoomScale="80" zoomScaleNormal="80" zoomScalePageLayoutView="80" workbookViewId="0">
      <pane ySplit="4" topLeftCell="A5" activePane="bottomLeft" state="frozen"/>
      <selection pane="bottomLeft" activeCell="O9" sqref="O9"/>
    </sheetView>
  </sheetViews>
  <sheetFormatPr defaultColWidth="11.42578125" defaultRowHeight="15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1.7109375" style="11" customWidth="1"/>
    <col min="9" max="9" width="11.42578125" style="11"/>
    <col min="10" max="10" width="13" style="11" bestFit="1" customWidth="1"/>
    <col min="11" max="16384" width="11.42578125" style="11"/>
  </cols>
  <sheetData>
    <row r="1" spans="1:16" x14ac:dyDescent="0.25">
      <c r="A1" s="109" t="s">
        <v>187</v>
      </c>
      <c r="H1" s="79">
        <v>6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9">
        <v>15</v>
      </c>
    </row>
    <row r="2" spans="1:16" x14ac:dyDescent="0.25">
      <c r="A2" s="110" t="s">
        <v>166</v>
      </c>
      <c r="H2" s="171" t="s">
        <v>168</v>
      </c>
      <c r="I2" s="172"/>
      <c r="J2" s="172"/>
      <c r="K2" s="172"/>
      <c r="L2" s="172"/>
      <c r="M2" s="172"/>
      <c r="N2" s="172"/>
      <c r="O2" s="172"/>
      <c r="P2" s="173"/>
    </row>
    <row r="3" spans="1:16" ht="18" x14ac:dyDescent="0.25">
      <c r="A3" s="111" t="s">
        <v>167</v>
      </c>
      <c r="H3" s="38" t="s">
        <v>169</v>
      </c>
      <c r="I3" s="38" t="s">
        <v>170</v>
      </c>
      <c r="J3" s="38" t="s">
        <v>171</v>
      </c>
      <c r="K3" s="38" t="s">
        <v>172</v>
      </c>
      <c r="L3" s="38" t="s">
        <v>173</v>
      </c>
      <c r="M3" s="38" t="s">
        <v>174</v>
      </c>
      <c r="N3" s="38" t="s">
        <v>175</v>
      </c>
      <c r="O3" s="38" t="s">
        <v>176</v>
      </c>
      <c r="P3" s="38" t="s">
        <v>177</v>
      </c>
    </row>
    <row r="4" spans="1:16" ht="18" x14ac:dyDescent="0.25">
      <c r="A4" s="108" t="s">
        <v>263</v>
      </c>
      <c r="H4" s="38" t="s">
        <v>224</v>
      </c>
      <c r="I4" s="38" t="s">
        <v>178</v>
      </c>
      <c r="J4" s="38" t="s">
        <v>194</v>
      </c>
      <c r="K4" s="38" t="s">
        <v>179</v>
      </c>
      <c r="L4" s="38" t="s">
        <v>180</v>
      </c>
      <c r="M4" s="38" t="s">
        <v>185</v>
      </c>
      <c r="N4" s="38" t="s">
        <v>186</v>
      </c>
      <c r="O4" s="38" t="s">
        <v>183</v>
      </c>
      <c r="P4" s="38" t="s">
        <v>184</v>
      </c>
    </row>
    <row r="5" spans="1:16" x14ac:dyDescent="0.25">
      <c r="A5" s="10" t="s">
        <v>44</v>
      </c>
      <c r="B5" s="1" t="s">
        <v>45</v>
      </c>
      <c r="H5" s="86"/>
      <c r="I5" s="87"/>
      <c r="J5" s="87"/>
      <c r="K5" s="87"/>
      <c r="L5" s="113"/>
      <c r="M5" s="113"/>
      <c r="N5" s="113"/>
      <c r="O5" s="87"/>
      <c r="P5" s="87"/>
    </row>
    <row r="6" spans="1:16" x14ac:dyDescent="0.25">
      <c r="A6" s="10" t="s">
        <v>46</v>
      </c>
      <c r="B6" s="1" t="s">
        <v>11</v>
      </c>
      <c r="H6" s="86"/>
      <c r="I6" s="87"/>
      <c r="J6" s="87"/>
      <c r="K6" s="87"/>
      <c r="L6" s="87"/>
      <c r="M6" s="87"/>
      <c r="N6" s="87"/>
      <c r="O6" s="87"/>
      <c r="P6" s="87"/>
    </row>
    <row r="7" spans="1:16" x14ac:dyDescent="0.25">
      <c r="A7" s="10" t="s">
        <v>47</v>
      </c>
      <c r="B7" s="1" t="s">
        <v>48</v>
      </c>
      <c r="H7" s="86"/>
      <c r="I7" s="87"/>
      <c r="J7" s="87"/>
      <c r="K7" s="87"/>
      <c r="L7" s="87"/>
      <c r="M7" s="87"/>
      <c r="N7" s="87"/>
      <c r="O7" s="87"/>
      <c r="P7" s="87"/>
    </row>
    <row r="8" spans="1:16" x14ac:dyDescent="0.25">
      <c r="A8" s="10" t="s">
        <v>104</v>
      </c>
      <c r="B8" s="1" t="s">
        <v>105</v>
      </c>
      <c r="H8" s="86"/>
      <c r="I8" s="87"/>
      <c r="J8" s="87"/>
      <c r="K8" s="87"/>
      <c r="L8" s="87"/>
      <c r="M8" s="87"/>
      <c r="N8" s="87"/>
      <c r="O8" s="87"/>
      <c r="P8" s="87"/>
    </row>
    <row r="9" spans="1:16" x14ac:dyDescent="0.25">
      <c r="A9" s="10"/>
      <c r="B9" s="1"/>
      <c r="D9" s="11">
        <v>103</v>
      </c>
      <c r="E9" s="11" t="s">
        <v>98</v>
      </c>
      <c r="F9" t="s">
        <v>248</v>
      </c>
      <c r="H9" s="91">
        <f>IF(ISNUMBER($D9),VLOOKUP($D9,'Factores generales'!$C$6:$Q$34,H$1),"")</f>
        <v>25.8</v>
      </c>
      <c r="I9" s="91">
        <f>IF(ISNUMBER($D9),VLOOKUP($D9,'Factores generales'!$C$6:$Q$34,I$1),"")</f>
        <v>94.6</v>
      </c>
      <c r="J9" s="91">
        <f>IF(ISNUMBER($D9),VLOOKUP($D9,'Factores generales'!$C$6:$Q$34,J$1),"")</f>
        <v>1</v>
      </c>
      <c r="K9" s="91">
        <f>IF(ISNUMBER($D9),VLOOKUP($D9,'Factores generales'!$C$6:$Q$34,K$1),"")</f>
        <v>1.5000000000000002</v>
      </c>
      <c r="L9" s="113">
        <v>300</v>
      </c>
      <c r="M9" s="113">
        <v>20</v>
      </c>
      <c r="N9" s="113">
        <v>5</v>
      </c>
      <c r="O9" s="91">
        <f>IF(ISNUMBER($D9),VLOOKUP($D9,'Factores generales'!$C$6:$Q$34,O$1),"")</f>
        <v>957.36434108527135</v>
      </c>
      <c r="P9" s="91">
        <f>IF(ISNUMBER($D9),VLOOKUP($D9,'Factores generales'!$C$6:$Q$34,P$1),"")</f>
        <v>0.98</v>
      </c>
    </row>
    <row r="10" spans="1:16" x14ac:dyDescent="0.25">
      <c r="A10" s="10"/>
      <c r="B10" s="1"/>
      <c r="D10" s="11">
        <v>206</v>
      </c>
      <c r="E10" s="11" t="s">
        <v>98</v>
      </c>
      <c r="F10" s="11" t="s">
        <v>249</v>
      </c>
      <c r="H10" s="80">
        <f>IF(ISNUMBER($D10),VLOOKUP($D10,'Factores generales'!$C$6:$Q$34,H$1),"")</f>
        <v>43</v>
      </c>
      <c r="I10" s="80">
        <f>IF(ISNUMBER($D10),VLOOKUP($D10,'Factores generales'!$C$6:$Q$34,I$1),"")</f>
        <v>74.099999999999994</v>
      </c>
      <c r="J10" s="91">
        <f>IF(ISNUMBER($D10),VLOOKUP($D10,'Factores generales'!$C$6:$Q$34,J$1),"")</f>
        <v>3</v>
      </c>
      <c r="K10" s="91">
        <f>IF(ISNUMBER($D10),VLOOKUP($D10,'Factores generales'!$C$6:$Q$34,K$1),"")</f>
        <v>0.6</v>
      </c>
      <c r="L10" s="113">
        <v>200</v>
      </c>
      <c r="M10" s="113">
        <v>15</v>
      </c>
      <c r="N10" s="113">
        <v>5</v>
      </c>
      <c r="O10" s="80">
        <f>IF(ISNUMBER($D10),VLOOKUP($D10,'Factores generales'!$C$6:$Q$34,O$1),"")</f>
        <v>36.279069767441861</v>
      </c>
      <c r="P10" s="80">
        <f>IF(ISNUMBER($D10),VLOOKUP($D10,'Factores generales'!$C$6:$Q$34,P$1),"")</f>
        <v>0.99</v>
      </c>
    </row>
    <row r="11" spans="1:16" x14ac:dyDescent="0.25">
      <c r="A11" s="10"/>
      <c r="B11" s="1"/>
      <c r="D11" s="11">
        <v>207</v>
      </c>
      <c r="E11" s="11" t="s">
        <v>98</v>
      </c>
      <c r="F11" s="11" t="s">
        <v>250</v>
      </c>
      <c r="H11" s="80">
        <f>IF(ISNUMBER($D11),VLOOKUP($D11,'Factores generales'!$C$6:$Q$34,H$1),"")</f>
        <v>40.4</v>
      </c>
      <c r="I11" s="80">
        <f>IF(ISNUMBER($D11),VLOOKUP($D11,'Factores generales'!$C$6:$Q$34,I$1),"")</f>
        <v>77.400000000000006</v>
      </c>
      <c r="J11" s="91">
        <f>IF(ISNUMBER($D11),VLOOKUP($D11,'Factores generales'!$C$6:$Q$34,J$1),"")</f>
        <v>3</v>
      </c>
      <c r="K11" s="91">
        <f>IF(ISNUMBER($D11),VLOOKUP($D11,'Factores generales'!$C$6:$Q$34,K$1),"")</f>
        <v>0.6</v>
      </c>
      <c r="L11" s="113">
        <v>200</v>
      </c>
      <c r="M11" s="113">
        <f>M10</f>
        <v>15</v>
      </c>
      <c r="N11" s="113">
        <v>5</v>
      </c>
      <c r="O11" s="80">
        <f>IF(ISNUMBER($D11),VLOOKUP($D11,'Factores generales'!$C$6:$Q$34,O$1),"")</f>
        <v>198.01980198019803</v>
      </c>
      <c r="P11" s="80">
        <f>IF(ISNUMBER($D11),VLOOKUP($D11,'Factores generales'!$C$6:$Q$34,P$1),"")</f>
        <v>0.99</v>
      </c>
    </row>
    <row r="12" spans="1:16" x14ac:dyDescent="0.25">
      <c r="A12" s="10"/>
      <c r="B12" s="1"/>
      <c r="D12" s="11">
        <v>301</v>
      </c>
      <c r="E12" s="11" t="s">
        <v>98</v>
      </c>
      <c r="F12" t="s">
        <v>106</v>
      </c>
      <c r="H12" s="80">
        <f>IF(ISNUMBER($D12),VLOOKUP($D12,'Factores generales'!$C$6:$Q$34,H$1),"")</f>
        <v>34.512</v>
      </c>
      <c r="I12" s="80">
        <f>IF(ISNUMBER($D12),VLOOKUP($D12,'Factores generales'!$C$6:$Q$34,I$1),"")</f>
        <v>56.1</v>
      </c>
      <c r="J12" s="91">
        <f>IF(ISNUMBER($D12),VLOOKUP($D12,'Factores generales'!$C$6:$Q$34,J$1),"")</f>
        <v>1</v>
      </c>
      <c r="K12" s="91">
        <f>IF(ISNUMBER($D12),VLOOKUP($D12,'Factores generales'!$C$6:$Q$34,K$1),"")</f>
        <v>0.1</v>
      </c>
      <c r="L12" s="113">
        <v>150</v>
      </c>
      <c r="M12" s="113">
        <v>20</v>
      </c>
      <c r="N12" s="113">
        <v>5</v>
      </c>
      <c r="O12" s="80">
        <f>IF(ISNUMBER($D12),VLOOKUP($D12,'Factores generales'!$C$6:$Q$34,O$1),"")</f>
        <v>0</v>
      </c>
      <c r="P12" s="80">
        <f>IF(ISNUMBER($D12),VLOOKUP($D12,'Factores generales'!$C$6:$Q$34,P$1),"")</f>
        <v>0.995</v>
      </c>
    </row>
    <row r="13" spans="1:16" x14ac:dyDescent="0.25">
      <c r="A13" s="10"/>
      <c r="B13" s="1"/>
      <c r="D13" s="11">
        <v>405</v>
      </c>
      <c r="E13" s="11" t="s">
        <v>98</v>
      </c>
      <c r="F13" s="2" t="s">
        <v>251</v>
      </c>
      <c r="H13" s="80">
        <f>IF(ISNUMBER($D13),VLOOKUP($D13,'Factores generales'!$C$6:$Q$34,H$1),"")</f>
        <v>43</v>
      </c>
      <c r="I13" s="80">
        <f>IF(ISNUMBER($D13),VLOOKUP($D13,'Factores generales'!$C$6:$Q$34,I$1),"")</f>
        <v>74.099999999999994</v>
      </c>
      <c r="J13" s="91">
        <f>IF(ISNUMBER($D13),VLOOKUP($D13,'Factores generales'!$C$6:$Q$34,J$1),"")</f>
        <v>3</v>
      </c>
      <c r="K13" s="91">
        <f>IF(ISNUMBER($D13),VLOOKUP($D13,'Factores generales'!$C$6:$Q$34,K$1),"")</f>
        <v>0.6</v>
      </c>
      <c r="L13" s="118">
        <f>L10</f>
        <v>200</v>
      </c>
      <c r="M13" s="118">
        <f>M10</f>
        <v>15</v>
      </c>
      <c r="N13" s="118">
        <f>N10</f>
        <v>5</v>
      </c>
      <c r="O13" s="80">
        <f>IF(ISNUMBER($D13),VLOOKUP($D13,'Factores generales'!$C$6:$Q$34,O$1),"")</f>
        <v>0</v>
      </c>
      <c r="P13" s="80">
        <f>IF(ISNUMBER($D13),VLOOKUP($D13,'Factores generales'!$C$6:$Q$34,P$1),"")</f>
        <v>0.99</v>
      </c>
    </row>
    <row r="14" spans="1:16" x14ac:dyDescent="0.25">
      <c r="A14" s="10" t="s">
        <v>107</v>
      </c>
      <c r="B14" s="1" t="s">
        <v>108</v>
      </c>
      <c r="D14" s="11"/>
      <c r="E14"/>
      <c r="F14"/>
      <c r="H14" s="88" t="str">
        <f>IF(ISNUMBER($D14),VLOOKUP($D14,'Factores generales'!$C$6:$Q$34,H$1),"")</f>
        <v/>
      </c>
      <c r="I14" s="88" t="str">
        <f>IF(ISNUMBER($D14),VLOOKUP($D14,'Factores generales'!$C$6:$Q$34,I$1),"")</f>
        <v/>
      </c>
      <c r="J14" s="88" t="str">
        <f>IF(ISNUMBER($D14),VLOOKUP($D14,'Factores generales'!$C$6:$Q$34,J$1),"")</f>
        <v/>
      </c>
      <c r="K14" s="88" t="str">
        <f>IF(ISNUMBER($D14),VLOOKUP($D14,'Factores generales'!$C$6:$Q$34,K$1),"")</f>
        <v/>
      </c>
      <c r="L14" s="87"/>
      <c r="M14" s="87"/>
      <c r="N14" s="87"/>
      <c r="O14" s="88" t="str">
        <f>IF(ISNUMBER($D14),VLOOKUP($D14,'Factores generales'!$C$6:$Q$34,O$1),"")</f>
        <v/>
      </c>
      <c r="P14" s="88" t="str">
        <f>IF(ISNUMBER($D14),VLOOKUP($D14,'Factores generales'!$C$6:$Q$34,P$1),"")</f>
        <v/>
      </c>
    </row>
    <row r="15" spans="1:16" x14ac:dyDescent="0.25">
      <c r="A15" s="10" t="s">
        <v>109</v>
      </c>
      <c r="B15" s="1" t="s">
        <v>110</v>
      </c>
      <c r="D15" s="11"/>
      <c r="E15"/>
      <c r="F15"/>
      <c r="H15" s="88" t="str">
        <f>IF(ISNUMBER($D15),VLOOKUP($D15,'Factores generales'!$C$6:$Q$34,H$1),"")</f>
        <v/>
      </c>
      <c r="I15" s="88" t="str">
        <f>IF(ISNUMBER($D15),VLOOKUP($D15,'Factores generales'!$C$6:$Q$34,I$1),"")</f>
        <v/>
      </c>
      <c r="J15" s="88" t="str">
        <f>IF(ISNUMBER($D15),VLOOKUP($D15,'Factores generales'!$C$6:$Q$34,J$1),"")</f>
        <v/>
      </c>
      <c r="K15" s="88" t="str">
        <f>IF(ISNUMBER($D15),VLOOKUP($D15,'Factores generales'!$C$6:$Q$34,K$1),"")</f>
        <v/>
      </c>
      <c r="L15" s="87"/>
      <c r="M15" s="87"/>
      <c r="N15" s="87"/>
      <c r="O15" s="88" t="str">
        <f>IF(ISNUMBER($D15),VLOOKUP($D15,'Factores generales'!$C$6:$Q$34,O$1),"")</f>
        <v/>
      </c>
      <c r="P15" s="88" t="str">
        <f>IF(ISNUMBER($D15),VLOOKUP($D15,'Factores generales'!$C$6:$Q$34,P$1),"")</f>
        <v/>
      </c>
    </row>
    <row r="16" spans="1:16" x14ac:dyDescent="0.25">
      <c r="A16" s="10" t="s">
        <v>24</v>
      </c>
      <c r="B16" s="1" t="s">
        <v>49</v>
      </c>
      <c r="C16" s="1"/>
      <c r="D16" s="11"/>
      <c r="E16" s="1"/>
      <c r="F16" s="1"/>
      <c r="G16" s="1"/>
      <c r="H16" s="80" t="str">
        <f>IF(ISNUMBER($D16),VLOOKUP($D16,'Factores generales'!$C$6:$Q$34,H$1),"")</f>
        <v/>
      </c>
      <c r="I16" s="80" t="str">
        <f>IF(ISNUMBER($D16),VLOOKUP($D16,'Factores generales'!$C$6:$Q$34,I$1),"")</f>
        <v/>
      </c>
      <c r="J16" s="80" t="str">
        <f>IF(ISNUMBER($D16),VLOOKUP($D16,'Factores generales'!$C$6:$Q$34,J$1),"")</f>
        <v/>
      </c>
      <c r="K16" s="80" t="str">
        <f>IF(ISNUMBER($D16),VLOOKUP($D16,'Factores generales'!$C$6:$Q$34,K$1),"")</f>
        <v/>
      </c>
      <c r="L16" s="17"/>
      <c r="M16" s="17"/>
      <c r="N16" s="17"/>
      <c r="O16" s="80" t="str">
        <f>IF(ISNUMBER($D16),VLOOKUP($D16,'Factores generales'!$C$6:$Q$34,O$1),"")</f>
        <v/>
      </c>
      <c r="P16" s="80" t="str">
        <f>IF(ISNUMBER($D16),VLOOKUP($D16,'Factores generales'!$C$6:$Q$34,P$1),"")</f>
        <v/>
      </c>
    </row>
    <row r="17" spans="1:16" x14ac:dyDescent="0.25">
      <c r="A17" s="10"/>
      <c r="B17" s="1"/>
      <c r="C17" s="1"/>
      <c r="D17" s="11">
        <v>301</v>
      </c>
      <c r="E17" s="11" t="s">
        <v>98</v>
      </c>
      <c r="F17" t="s">
        <v>106</v>
      </c>
      <c r="H17" s="80">
        <f>IF(ISNUMBER($D17),VLOOKUP($D17,'Factores generales'!$C$6:$Q$34,H$1),"")</f>
        <v>34.512</v>
      </c>
      <c r="I17" s="80">
        <f>IF(ISNUMBER($D17),VLOOKUP($D17,'Factores generales'!$C$6:$Q$34,I$1),"")</f>
        <v>56.1</v>
      </c>
      <c r="J17" s="80">
        <f>IF(ISNUMBER($D17),VLOOKUP($D17,'Factores generales'!$C$6:$Q$34,J$1),"")</f>
        <v>1</v>
      </c>
      <c r="K17" s="80">
        <f>IF(ISNUMBER($D17),VLOOKUP($D17,'Factores generales'!$C$6:$Q$34,K$1),"")</f>
        <v>0.1</v>
      </c>
      <c r="L17" s="113">
        <v>150</v>
      </c>
      <c r="M17" s="113">
        <v>20</v>
      </c>
      <c r="N17" s="113">
        <v>5</v>
      </c>
      <c r="O17" s="80">
        <f>IF(ISNUMBER($D17),VLOOKUP($D17,'Factores generales'!$C$6:$Q$34,O$1),"")</f>
        <v>0</v>
      </c>
      <c r="P17" s="80">
        <f>IF(ISNUMBER($D17),VLOOKUP($D17,'Factores generales'!$C$6:$Q$34,P$1),"")</f>
        <v>0.995</v>
      </c>
    </row>
    <row r="18" spans="1:16" x14ac:dyDescent="0.25">
      <c r="A18" s="10"/>
      <c r="B18" s="1"/>
      <c r="C18" s="1"/>
      <c r="D18" s="11">
        <v>208</v>
      </c>
      <c r="E18" s="27" t="s">
        <v>98</v>
      </c>
      <c r="F18" t="s">
        <v>15</v>
      </c>
      <c r="H18" s="80">
        <f>IF(ISNUMBER($D18),VLOOKUP($D18,'Factores generales'!$C$6:$Q$34,H$1),"")</f>
        <v>47.3</v>
      </c>
      <c r="I18" s="80">
        <f>IF(ISNUMBER($D18),VLOOKUP($D18,'Factores generales'!$C$6:$Q$34,I$1),"")</f>
        <v>63.1</v>
      </c>
      <c r="J18" s="80">
        <f>IF(ISNUMBER($D18),VLOOKUP($D18,'Factores generales'!$C$6:$Q$34,J$1),"")</f>
        <v>1</v>
      </c>
      <c r="K18" s="80">
        <f>IF(ISNUMBER($D18),VLOOKUP($D18,'Factores generales'!$C$6:$Q$34,K$1),"")</f>
        <v>0.1</v>
      </c>
      <c r="L18" s="118">
        <f>L17</f>
        <v>150</v>
      </c>
      <c r="M18" s="118">
        <f t="shared" ref="M18:N18" si="0">M17</f>
        <v>20</v>
      </c>
      <c r="N18" s="118">
        <f t="shared" si="0"/>
        <v>5</v>
      </c>
      <c r="O18" s="80">
        <f>IF(ISNUMBER($D18),VLOOKUP($D18,'Factores generales'!$C$6:$Q$34,O$1),"")</f>
        <v>4.2283298097251594</v>
      </c>
      <c r="P18" s="80">
        <f>IF(ISNUMBER($D18),VLOOKUP($D18,'Factores generales'!$C$6:$Q$34,P$1),"")</f>
        <v>0.99</v>
      </c>
    </row>
    <row r="19" spans="1:16" x14ac:dyDescent="0.25">
      <c r="A19" s="10"/>
      <c r="B19" s="1"/>
      <c r="C19" s="1"/>
      <c r="D19" s="11">
        <v>303</v>
      </c>
      <c r="E19" s="11" t="s">
        <v>98</v>
      </c>
      <c r="F19" s="11" t="s">
        <v>10</v>
      </c>
      <c r="H19" s="80">
        <f>IF(ISNUMBER($D19),VLOOKUP($D19,'Factores generales'!$C$6:$Q$34,H$1),"")</f>
        <v>36.580500000000001</v>
      </c>
      <c r="I19" s="80">
        <f>IF(ISNUMBER($D19),VLOOKUP($D19,'Factores generales'!$C$6:$Q$34,I$1),"")</f>
        <v>57.6</v>
      </c>
      <c r="J19" s="80">
        <f>IF(ISNUMBER($D19),VLOOKUP($D19,'Factores generales'!$C$6:$Q$34,J$1),"")</f>
        <v>1</v>
      </c>
      <c r="K19" s="80">
        <f>IF(ISNUMBER($D19),VLOOKUP($D19,'Factores generales'!$C$6:$Q$34,K$1),"")</f>
        <v>0.1</v>
      </c>
      <c r="L19" s="118">
        <f>L17</f>
        <v>150</v>
      </c>
      <c r="M19" s="118">
        <f>M17</f>
        <v>20</v>
      </c>
      <c r="N19" s="118">
        <f>N17</f>
        <v>5</v>
      </c>
      <c r="O19" s="80">
        <f>IF(ISNUMBER($D19),VLOOKUP($D19,'Factores generales'!$C$6:$Q$34,O$1),"")</f>
        <v>0</v>
      </c>
      <c r="P19" s="80">
        <f>IF(ISNUMBER($D19),VLOOKUP($D19,'Factores generales'!$C$6:$Q$34,P$1),"")</f>
        <v>0.995</v>
      </c>
    </row>
    <row r="20" spans="1:16" x14ac:dyDescent="0.25">
      <c r="A20" s="10"/>
      <c r="B20" s="1"/>
      <c r="C20" s="1"/>
      <c r="D20" s="11">
        <v>210</v>
      </c>
      <c r="E20" s="11" t="s">
        <v>98</v>
      </c>
      <c r="F20" s="11" t="s">
        <v>252</v>
      </c>
      <c r="H20" s="80">
        <f>IF(ISNUMBER($D20),VLOOKUP($D20,'Factores generales'!$C$6:$Q$34,H$1),"")</f>
        <v>44.1</v>
      </c>
      <c r="I20" s="80">
        <f>IF(ISNUMBER($D20),VLOOKUP($D20,'Factores generales'!$C$6:$Q$34,I$1),"")</f>
        <v>71.5</v>
      </c>
      <c r="J20" s="80">
        <f>IF(ISNUMBER($D20),VLOOKUP($D20,'Factores generales'!$C$6:$Q$34,J$1),"")</f>
        <v>3</v>
      </c>
      <c r="K20" s="80">
        <f>IF(ISNUMBER($D20),VLOOKUP($D20,'Factores generales'!$C$6:$Q$34,K$1),"")</f>
        <v>0.6</v>
      </c>
      <c r="L20" s="113">
        <v>200</v>
      </c>
      <c r="M20" s="113">
        <v>15</v>
      </c>
      <c r="N20" s="113">
        <v>5</v>
      </c>
      <c r="O20" s="80">
        <f>IF(ISNUMBER($D20),VLOOKUP($D20,'Factores generales'!$C$6:$Q$34,O$1),"")</f>
        <v>45.351473922902493</v>
      </c>
      <c r="P20" s="80">
        <f>IF(ISNUMBER($D20),VLOOKUP($D20,'Factores generales'!$C$6:$Q$34,P$1),"")</f>
        <v>0.99</v>
      </c>
    </row>
    <row r="21" spans="1:16" x14ac:dyDescent="0.25">
      <c r="A21" s="10"/>
      <c r="B21" s="1"/>
      <c r="C21" s="1"/>
      <c r="D21" s="11">
        <v>209</v>
      </c>
      <c r="E21" s="27" t="s">
        <v>98</v>
      </c>
      <c r="F21" t="s">
        <v>268</v>
      </c>
      <c r="H21" s="80">
        <f>IF(ISNUMBER($D21),VLOOKUP($D21,'Factores generales'!$C$6:$Q$34,H$1),"")</f>
        <v>44.3</v>
      </c>
      <c r="I21" s="80">
        <f>IF(ISNUMBER($D21),VLOOKUP($D21,'Factores generales'!$C$6:$Q$34,I$1),"")</f>
        <v>69.3</v>
      </c>
      <c r="J21" s="80">
        <f>IF(ISNUMBER($D21),VLOOKUP($D21,'Factores generales'!$C$6:$Q$34,J$1),"")</f>
        <v>3</v>
      </c>
      <c r="K21" s="80">
        <f>IF(ISNUMBER($D21),VLOOKUP($D21,'Factores generales'!$C$6:$Q$34,K$1),"")</f>
        <v>0.6</v>
      </c>
      <c r="L21" s="113">
        <v>200</v>
      </c>
      <c r="M21" s="113">
        <v>15</v>
      </c>
      <c r="N21" s="113">
        <v>5</v>
      </c>
      <c r="O21" s="80">
        <f>IF(ISNUMBER($D21),VLOOKUP($D21,'Factores generales'!$C$6:$Q$34,O$1),"")</f>
        <v>4.5146726862302486</v>
      </c>
      <c r="P21" s="80">
        <f>IF(ISNUMBER($D21),VLOOKUP($D21,'Factores generales'!$C$6:$Q$34,P$1),"")</f>
        <v>0.99</v>
      </c>
    </row>
    <row r="22" spans="1:16" x14ac:dyDescent="0.25">
      <c r="A22" s="10"/>
      <c r="B22" s="1"/>
      <c r="C22" s="1"/>
      <c r="D22" s="11">
        <v>206</v>
      </c>
      <c r="E22" s="11" t="s">
        <v>98</v>
      </c>
      <c r="F22" s="11" t="s">
        <v>249</v>
      </c>
      <c r="H22" s="80">
        <f>IF(ISNUMBER($D22),VLOOKUP($D22,'Factores generales'!$C$6:$Q$34,H$1),"")</f>
        <v>43</v>
      </c>
      <c r="I22" s="80">
        <f>IF(ISNUMBER($D22),VLOOKUP($D22,'Factores generales'!$C$6:$Q$34,I$1),"")</f>
        <v>74.099999999999994</v>
      </c>
      <c r="J22" s="80">
        <f>IF(ISNUMBER($D22),VLOOKUP($D22,'Factores generales'!$C$6:$Q$34,J$1),"")</f>
        <v>3</v>
      </c>
      <c r="K22" s="80">
        <f>IF(ISNUMBER($D22),VLOOKUP($D22,'Factores generales'!$C$6:$Q$34,K$1),"")</f>
        <v>0.6</v>
      </c>
      <c r="L22" s="113">
        <v>200</v>
      </c>
      <c r="M22" s="113">
        <v>15</v>
      </c>
      <c r="N22" s="113">
        <v>5</v>
      </c>
      <c r="O22" s="80">
        <f>IF(ISNUMBER($D22),VLOOKUP($D22,'Factores generales'!$C$6:$Q$34,O$1),"")</f>
        <v>36.279069767441861</v>
      </c>
      <c r="P22" s="80">
        <f>IF(ISNUMBER($D22),VLOOKUP($D22,'Factores generales'!$C$6:$Q$34,P$1),"")</f>
        <v>0.99</v>
      </c>
    </row>
    <row r="23" spans="1:16" x14ac:dyDescent="0.25">
      <c r="A23" s="10"/>
      <c r="B23" s="1"/>
      <c r="C23" s="1"/>
      <c r="D23" s="11">
        <v>207</v>
      </c>
      <c r="E23" s="11" t="s">
        <v>98</v>
      </c>
      <c r="F23" s="11" t="s">
        <v>250</v>
      </c>
      <c r="H23" s="80">
        <f>IF(ISNUMBER($D23),VLOOKUP($D23,'Factores generales'!$C$6:$Q$34,H$1),"")</f>
        <v>40.4</v>
      </c>
      <c r="I23" s="80">
        <f>IF(ISNUMBER($D23),VLOOKUP($D23,'Factores generales'!$C$6:$Q$34,I$1),"")</f>
        <v>77.400000000000006</v>
      </c>
      <c r="J23" s="80">
        <f>IF(ISNUMBER($D23),VLOOKUP($D23,'Factores generales'!$C$6:$Q$34,J$1),"")</f>
        <v>3</v>
      </c>
      <c r="K23" s="80">
        <f>IF(ISNUMBER($D23),VLOOKUP($D23,'Factores generales'!$C$6:$Q$34,K$1),"")</f>
        <v>0.6</v>
      </c>
      <c r="L23" s="113">
        <v>200</v>
      </c>
      <c r="M23" s="113">
        <v>15</v>
      </c>
      <c r="N23" s="113">
        <v>5</v>
      </c>
      <c r="O23" s="80">
        <f>IF(ISNUMBER($D23),VLOOKUP($D23,'Factores generales'!$C$6:$Q$34,O$1),"")</f>
        <v>198.01980198019803</v>
      </c>
      <c r="P23" s="80">
        <f>IF(ISNUMBER($D23),VLOOKUP($D23,'Factores generales'!$C$6:$Q$34,P$1),"")</f>
        <v>0.99</v>
      </c>
    </row>
    <row r="24" spans="1:16" x14ac:dyDescent="0.25">
      <c r="A24" s="10"/>
      <c r="B24" s="1"/>
      <c r="C24" s="1"/>
      <c r="D24" s="11">
        <v>106</v>
      </c>
      <c r="E24" s="27" t="s">
        <v>98</v>
      </c>
      <c r="F24" s="11" t="s">
        <v>16</v>
      </c>
      <c r="H24" s="80">
        <f>IF(ISNUMBER($D24),VLOOKUP($D24,'Factores generales'!$C$6:$Q$34,H$1),"")</f>
        <v>32.5</v>
      </c>
      <c r="I24" s="80">
        <f>IF(ISNUMBER($D24),VLOOKUP($D24,'Factores generales'!$C$6:$Q$34,I$1),"")</f>
        <v>97.5</v>
      </c>
      <c r="J24" s="80">
        <f>IF(ISNUMBER($D24),VLOOKUP($D24,'Factores generales'!$C$6:$Q$34,J$1),"")</f>
        <v>1</v>
      </c>
      <c r="K24" s="80">
        <f>IF(ISNUMBER($D24),VLOOKUP($D24,'Factores generales'!$C$6:$Q$34,K$1),"")</f>
        <v>1.5000000000000002</v>
      </c>
      <c r="L24" s="118">
        <f>L9</f>
        <v>300</v>
      </c>
      <c r="M24" s="118">
        <f t="shared" ref="M24:N24" si="1">M9</f>
        <v>20</v>
      </c>
      <c r="N24" s="118">
        <f t="shared" si="1"/>
        <v>5</v>
      </c>
      <c r="O24" s="80">
        <f>IF(ISNUMBER($D24),VLOOKUP($D24,'Factores generales'!$C$6:$Q$34,O$1),"")</f>
        <v>0</v>
      </c>
      <c r="P24" s="80">
        <f>IF(ISNUMBER($D24),VLOOKUP($D24,'Factores generales'!$C$6:$Q$34,P$1),"")</f>
        <v>0.98</v>
      </c>
    </row>
    <row r="25" spans="1:16" x14ac:dyDescent="0.25">
      <c r="A25" s="10" t="s">
        <v>25</v>
      </c>
      <c r="B25" s="1" t="s">
        <v>19</v>
      </c>
      <c r="C25" s="1"/>
      <c r="D25" s="11"/>
      <c r="E25" s="1"/>
      <c r="F25" s="1"/>
      <c r="G25" s="1"/>
      <c r="H25" s="80" t="str">
        <f>IF(ISNUMBER($D25),VLOOKUP($D25,'Factores generales'!$C$6:$Q$34,H$1),"")</f>
        <v/>
      </c>
      <c r="I25" s="80" t="str">
        <f>IF(ISNUMBER($D25),VLOOKUP($D25,'Factores generales'!$C$6:$Q$34,I$1),"")</f>
        <v/>
      </c>
      <c r="J25" s="80" t="str">
        <f>IF(ISNUMBER($D25),VLOOKUP($D25,'Factores generales'!$C$6:$Q$34,J$1),"")</f>
        <v/>
      </c>
      <c r="K25" s="80" t="str">
        <f>IF(ISNUMBER($D25),VLOOKUP($D25,'Factores generales'!$C$6:$Q$34,K$1),"")</f>
        <v/>
      </c>
      <c r="L25" s="113"/>
      <c r="M25" s="113"/>
      <c r="N25" s="113"/>
      <c r="O25" s="80" t="str">
        <f>IF(ISNUMBER($D25),VLOOKUP($D25,'Factores generales'!$C$6:$Q$34,O$1),"")</f>
        <v/>
      </c>
      <c r="P25" s="80" t="str">
        <f>IF(ISNUMBER($D25),VLOOKUP($D25,'Factores generales'!$C$6:$Q$34,P$1),"")</f>
        <v/>
      </c>
    </row>
    <row r="26" spans="1:16" x14ac:dyDescent="0.25">
      <c r="A26" s="10" t="s">
        <v>26</v>
      </c>
      <c r="B26" s="1" t="s">
        <v>20</v>
      </c>
      <c r="C26" s="1"/>
      <c r="D26" s="11"/>
      <c r="E26" s="1"/>
      <c r="F26" s="1"/>
      <c r="G26" s="1"/>
      <c r="H26" s="80" t="str">
        <f>IF(ISNUMBER($D26),VLOOKUP($D26,'Factores generales'!$C$6:$Q$34,H$1),"")</f>
        <v/>
      </c>
      <c r="I26" s="80" t="str">
        <f>IF(ISNUMBER($D26),VLOOKUP($D26,'Factores generales'!$C$6:$Q$34,I$1),"")</f>
        <v/>
      </c>
      <c r="J26" s="80" t="str">
        <f>IF(ISNUMBER($D26),VLOOKUP($D26,'Factores generales'!$C$6:$Q$34,J$1),"")</f>
        <v/>
      </c>
      <c r="K26" s="80" t="str">
        <f>IF(ISNUMBER($D26),VLOOKUP($D26,'Factores generales'!$C$6:$Q$34,K$1),"")</f>
        <v/>
      </c>
      <c r="L26" s="113"/>
      <c r="M26" s="113"/>
      <c r="N26" s="113"/>
      <c r="O26" s="80" t="str">
        <f>IF(ISNUMBER($D26),VLOOKUP($D26,'Factores generales'!$C$6:$Q$34,O$1),"")</f>
        <v/>
      </c>
      <c r="P26" s="80" t="str">
        <f>IF(ISNUMBER($D26),VLOOKUP($D26,'Factores generales'!$C$6:$Q$34,P$1),"")</f>
        <v/>
      </c>
    </row>
    <row r="27" spans="1:16" x14ac:dyDescent="0.25">
      <c r="A27" s="10" t="s">
        <v>27</v>
      </c>
      <c r="B27" s="1" t="s">
        <v>21</v>
      </c>
      <c r="C27" s="1"/>
      <c r="D27" s="11"/>
      <c r="E27" s="1"/>
      <c r="F27" s="1"/>
      <c r="G27" s="1"/>
      <c r="H27" s="80" t="str">
        <f>IF(ISNUMBER($D27),VLOOKUP($D27,'Factores generales'!$C$6:$Q$34,H$1),"")</f>
        <v/>
      </c>
      <c r="I27" s="80" t="str">
        <f>IF(ISNUMBER($D27),VLOOKUP($D27,'Factores generales'!$C$6:$Q$34,I$1),"")</f>
        <v/>
      </c>
      <c r="J27" s="80" t="str">
        <f>IF(ISNUMBER($D27),VLOOKUP($D27,'Factores generales'!$C$6:$Q$34,J$1),"")</f>
        <v/>
      </c>
      <c r="K27" s="80" t="str">
        <f>IF(ISNUMBER($D27),VLOOKUP($D27,'Factores generales'!$C$6:$Q$34,K$1),"")</f>
        <v/>
      </c>
      <c r="L27" s="113"/>
      <c r="M27" s="113"/>
      <c r="N27" s="113"/>
      <c r="O27" s="80" t="str">
        <f>IF(ISNUMBER($D27),VLOOKUP($D27,'Factores generales'!$C$6:$Q$34,O$1),"")</f>
        <v/>
      </c>
      <c r="P27" s="80" t="str">
        <f>IF(ISNUMBER($D27),VLOOKUP($D27,'Factores generales'!$C$6:$Q$34,P$1),"")</f>
        <v/>
      </c>
    </row>
    <row r="28" spans="1:16" x14ac:dyDescent="0.25">
      <c r="B28" s="1" t="s">
        <v>7</v>
      </c>
      <c r="D28" s="11"/>
      <c r="E28"/>
      <c r="F28"/>
      <c r="G28" s="1"/>
      <c r="H28" s="80" t="str">
        <f>IF(ISNUMBER($D28),VLOOKUP($D28,'Factores generales'!$C$6:$Q$34,H$1),"")</f>
        <v/>
      </c>
      <c r="I28" s="80" t="str">
        <f>IF(ISNUMBER($D28),VLOOKUP($D28,'Factores generales'!$C$6:$Q$34,I$1),"")</f>
        <v/>
      </c>
      <c r="J28" s="80" t="str">
        <f>IF(ISNUMBER($D28),VLOOKUP($D28,'Factores generales'!$C$6:$Q$34,J$1),"")</f>
        <v/>
      </c>
      <c r="K28" s="80" t="str">
        <f>IF(ISNUMBER($D28),VLOOKUP($D28,'Factores generales'!$C$6:$Q$34,K$1),"")</f>
        <v/>
      </c>
      <c r="L28" s="113"/>
      <c r="M28" s="113"/>
      <c r="N28" s="113"/>
      <c r="O28" s="80" t="str">
        <f>IF(ISNUMBER($D28),VLOOKUP($D28,'Factores generales'!$C$6:$Q$34,O$1),"")</f>
        <v/>
      </c>
      <c r="P28" s="80" t="str">
        <f>IF(ISNUMBER($D28),VLOOKUP($D28,'Factores generales'!$C$6:$Q$34,P$1),"")</f>
        <v/>
      </c>
    </row>
    <row r="29" spans="1:16" x14ac:dyDescent="0.25">
      <c r="D29" s="11">
        <v>103</v>
      </c>
      <c r="E29" s="11" t="s">
        <v>98</v>
      </c>
      <c r="F29" t="s">
        <v>248</v>
      </c>
      <c r="H29" s="80">
        <f>IF(ISNUMBER($D29),VLOOKUP($D29,'Factores generales'!$C$6:$Q$34,H$1),"")</f>
        <v>25.8</v>
      </c>
      <c r="I29" s="80">
        <f>IF(ISNUMBER($D29),VLOOKUP($D29,'Factores generales'!$C$6:$Q$34,I$1),"")</f>
        <v>94.6</v>
      </c>
      <c r="J29" s="80">
        <f>IF(ISNUMBER($D29),VLOOKUP($D29,'Factores generales'!$C$6:$Q$34,J$1),"")</f>
        <v>1</v>
      </c>
      <c r="K29" s="80">
        <f>IF(ISNUMBER($D29),VLOOKUP($D29,'Factores generales'!$C$6:$Q$34,K$1),"")</f>
        <v>1.5000000000000002</v>
      </c>
      <c r="L29" s="113">
        <v>300</v>
      </c>
      <c r="M29" s="113">
        <v>20</v>
      </c>
      <c r="N29" s="113">
        <v>5</v>
      </c>
      <c r="O29" s="80">
        <f>IF(ISNUMBER($D29),VLOOKUP($D29,'Factores generales'!$C$6:$Q$34,O$1),"")</f>
        <v>957.36434108527135</v>
      </c>
      <c r="P29" s="80">
        <f>IF(ISNUMBER($D29),VLOOKUP($D29,'Factores generales'!$C$6:$Q$34,P$1),"")</f>
        <v>0.98</v>
      </c>
    </row>
    <row r="30" spans="1:16" x14ac:dyDescent="0.25">
      <c r="D30" s="11">
        <v>206</v>
      </c>
      <c r="E30" s="11" t="s">
        <v>98</v>
      </c>
      <c r="F30" t="s">
        <v>249</v>
      </c>
      <c r="H30" s="80">
        <f>IF(ISNUMBER($D30),VLOOKUP($D30,'Factores generales'!$C$6:$Q$34,H$1),"")</f>
        <v>43</v>
      </c>
      <c r="I30" s="80">
        <f>IF(ISNUMBER($D30),VLOOKUP($D30,'Factores generales'!$C$6:$Q$34,I$1),"")</f>
        <v>74.099999999999994</v>
      </c>
      <c r="J30" s="80">
        <f>IF(ISNUMBER($D30),VLOOKUP($D30,'Factores generales'!$C$6:$Q$34,J$1),"")</f>
        <v>3</v>
      </c>
      <c r="K30" s="80">
        <f>IF(ISNUMBER($D30),VLOOKUP($D30,'Factores generales'!$C$6:$Q$34,K$1),"")</f>
        <v>0.6</v>
      </c>
      <c r="L30" s="113">
        <v>200</v>
      </c>
      <c r="M30" s="113">
        <v>15</v>
      </c>
      <c r="N30" s="113">
        <v>5</v>
      </c>
      <c r="O30" s="80">
        <f>IF(ISNUMBER($D30),VLOOKUP($D30,'Factores generales'!$C$6:$Q$34,O$1),"")</f>
        <v>36.279069767441861</v>
      </c>
      <c r="P30" s="80">
        <f>IF(ISNUMBER($D30),VLOOKUP($D30,'Factores generales'!$C$6:$Q$34,P$1),"")</f>
        <v>0.99</v>
      </c>
    </row>
    <row r="31" spans="1:16" x14ac:dyDescent="0.25">
      <c r="B31" s="1" t="s">
        <v>6</v>
      </c>
      <c r="D31" s="11"/>
      <c r="E31"/>
      <c r="F31"/>
      <c r="G31" s="1"/>
      <c r="H31" s="80" t="str">
        <f>IF(ISNUMBER($D31),VLOOKUP($D31,'Factores generales'!$C$6:$Q$34,H$1),"")</f>
        <v/>
      </c>
      <c r="I31" s="80" t="str">
        <f>IF(ISNUMBER($D31),VLOOKUP($D31,'Factores generales'!$C$6:$Q$34,I$1),"")</f>
        <v/>
      </c>
      <c r="J31" s="80" t="str">
        <f>IF(ISNUMBER($D31),VLOOKUP($D31,'Factores generales'!$C$6:$Q$34,J$1),"")</f>
        <v/>
      </c>
      <c r="K31" s="80" t="str">
        <f>IF(ISNUMBER($D31),VLOOKUP($D31,'Factores generales'!$C$6:$Q$34,K$1),"")</f>
        <v/>
      </c>
      <c r="L31" s="113"/>
      <c r="M31" s="113"/>
      <c r="N31" s="113"/>
      <c r="O31" s="80" t="str">
        <f>IF(ISNUMBER($D31),VLOOKUP($D31,'Factores generales'!$C$6:$Q$34,O$1),"")</f>
        <v/>
      </c>
      <c r="P31" s="80" t="str">
        <f>IF(ISNUMBER($D31),VLOOKUP($D31,'Factores generales'!$C$6:$Q$34,P$1),"")</f>
        <v/>
      </c>
    </row>
    <row r="32" spans="1:16" x14ac:dyDescent="0.25">
      <c r="D32" s="11">
        <v>301</v>
      </c>
      <c r="E32" s="11" t="s">
        <v>98</v>
      </c>
      <c r="F32" t="s">
        <v>8</v>
      </c>
      <c r="H32" s="80">
        <f>IF(ISNUMBER($D32),VLOOKUP($D32,'Factores generales'!$C$6:$Q$34,H$1),"")</f>
        <v>34.512</v>
      </c>
      <c r="I32" s="80">
        <f>IF(ISNUMBER($D32),VLOOKUP($D32,'Factores generales'!$C$6:$Q$34,I$1),"")</f>
        <v>56.1</v>
      </c>
      <c r="J32" s="80">
        <f>IF(ISNUMBER($D32),VLOOKUP($D32,'Factores generales'!$C$6:$Q$34,J$1),"")</f>
        <v>1</v>
      </c>
      <c r="K32" s="80">
        <f>IF(ISNUMBER($D32),VLOOKUP($D32,'Factores generales'!$C$6:$Q$34,K$1),"")</f>
        <v>0.1</v>
      </c>
      <c r="L32" s="113">
        <v>150</v>
      </c>
      <c r="M32" s="113">
        <v>20</v>
      </c>
      <c r="N32" s="113">
        <v>5</v>
      </c>
      <c r="O32" s="80">
        <f>IF(ISNUMBER($D32),VLOOKUP($D32,'Factores generales'!$C$6:$Q$34,O$1),"")</f>
        <v>0</v>
      </c>
      <c r="P32" s="80">
        <f>IF(ISNUMBER($D32),VLOOKUP($D32,'Factores generales'!$C$6:$Q$34,P$1),"")</f>
        <v>0.995</v>
      </c>
    </row>
    <row r="33" spans="1:16" x14ac:dyDescent="0.25">
      <c r="D33" s="11">
        <v>206</v>
      </c>
      <c r="E33" s="11" t="s">
        <v>98</v>
      </c>
      <c r="F33" t="s">
        <v>249</v>
      </c>
      <c r="H33" s="80">
        <f>IF(ISNUMBER($D33),VLOOKUP($D33,'Factores generales'!$C$6:$Q$34,H$1),"")</f>
        <v>43</v>
      </c>
      <c r="I33" s="80">
        <f>IF(ISNUMBER($D33),VLOOKUP($D33,'Factores generales'!$C$6:$Q$34,I$1),"")</f>
        <v>74.099999999999994</v>
      </c>
      <c r="J33" s="80">
        <f>IF(ISNUMBER($D33),VLOOKUP($D33,'Factores generales'!$C$6:$Q$34,J$1),"")</f>
        <v>3</v>
      </c>
      <c r="K33" s="80">
        <f>IF(ISNUMBER($D33),VLOOKUP($D33,'Factores generales'!$C$6:$Q$34,K$1),"")</f>
        <v>0.6</v>
      </c>
      <c r="L33" s="113">
        <v>200</v>
      </c>
      <c r="M33" s="113">
        <v>15</v>
      </c>
      <c r="N33" s="113">
        <v>5</v>
      </c>
      <c r="O33" s="80">
        <f>IF(ISNUMBER($D33),VLOOKUP($D33,'Factores generales'!$C$6:$Q$34,O$1),"")</f>
        <v>36.279069767441861</v>
      </c>
      <c r="P33" s="80">
        <f>IF(ISNUMBER($D33),VLOOKUP($D33,'Factores generales'!$C$6:$Q$34,P$1),"")</f>
        <v>0.99</v>
      </c>
    </row>
    <row r="34" spans="1:16" x14ac:dyDescent="0.25">
      <c r="D34" s="11">
        <v>201</v>
      </c>
      <c r="E34" s="11" t="s">
        <v>98</v>
      </c>
      <c r="F34" t="s">
        <v>269</v>
      </c>
      <c r="H34" s="80">
        <f>IF(ISNUMBER($D34),VLOOKUP($D34,'Factores generales'!$C$6:$Q$34,H$1),"")</f>
        <v>42.3</v>
      </c>
      <c r="I34" s="80">
        <f>IF(ISNUMBER($D34),VLOOKUP($D34,'Factores generales'!$C$6:$Q$34,I$1),"")</f>
        <v>73.3</v>
      </c>
      <c r="J34" s="80">
        <f>IF(ISNUMBER($D34),VLOOKUP($D34,'Factores generales'!$C$6:$Q$34,J$1),"")</f>
        <v>3</v>
      </c>
      <c r="K34" s="80">
        <f>IF(ISNUMBER($D34),VLOOKUP($D34,'Factores generales'!$C$6:$Q$34,K$1),"")</f>
        <v>0.6</v>
      </c>
      <c r="L34" s="113">
        <v>200</v>
      </c>
      <c r="M34" s="113">
        <v>15</v>
      </c>
      <c r="N34" s="113">
        <v>5</v>
      </c>
      <c r="O34" s="80">
        <f>IF(ISNUMBER($D34),VLOOKUP($D34,'Factores generales'!$C$6:$Q$34,O$1),"")</f>
        <v>614.65721040189123</v>
      </c>
      <c r="P34" s="80">
        <f>IF(ISNUMBER($D34),VLOOKUP($D34,'Factores generales'!$C$6:$Q$34,P$1),"")</f>
        <v>0.99</v>
      </c>
    </row>
    <row r="35" spans="1:16" x14ac:dyDescent="0.25">
      <c r="A35" s="10" t="s">
        <v>28</v>
      </c>
      <c r="B35" s="1" t="s">
        <v>22</v>
      </c>
      <c r="D35" s="11"/>
      <c r="E35"/>
      <c r="F35"/>
      <c r="H35" s="80" t="str">
        <f>IF(ISNUMBER($D35),VLOOKUP($D35,'Factores generales'!$C$6:$Q$34,H$1),"")</f>
        <v/>
      </c>
      <c r="I35" s="80" t="str">
        <f>IF(ISNUMBER($D35),VLOOKUP($D35,'Factores generales'!$C$6:$Q$34,I$1),"")</f>
        <v/>
      </c>
      <c r="J35" s="80" t="str">
        <f>IF(ISNUMBER($D35),VLOOKUP($D35,'Factores generales'!$C$6:$Q$34,J$1),"")</f>
        <v/>
      </c>
      <c r="K35" s="80" t="str">
        <f>IF(ISNUMBER($D35),VLOOKUP($D35,'Factores generales'!$C$6:$Q$34,K$1),"")</f>
        <v/>
      </c>
      <c r="L35" s="113"/>
      <c r="M35" s="113"/>
      <c r="N35" s="113"/>
      <c r="O35" s="80" t="str">
        <f>IF(ISNUMBER($D35),VLOOKUP($D35,'Factores generales'!$C$6:$Q$34,O$1),"")</f>
        <v/>
      </c>
      <c r="P35" s="80" t="str">
        <f>IF(ISNUMBER($D35),VLOOKUP($D35,'Factores generales'!$C$6:$Q$34,P$1),"")</f>
        <v/>
      </c>
    </row>
    <row r="36" spans="1:16" x14ac:dyDescent="0.25">
      <c r="A36" s="10" t="s">
        <v>23</v>
      </c>
      <c r="B36" s="1" t="s">
        <v>40</v>
      </c>
      <c r="D36" s="11"/>
      <c r="E36"/>
      <c r="F36"/>
      <c r="H36" s="80" t="str">
        <f>IF(ISNUMBER($D36),VLOOKUP($D36,'Factores generales'!$C$6:$Q$34,H$1),"")</f>
        <v/>
      </c>
      <c r="I36" s="80" t="str">
        <f>IF(ISNUMBER($D36),VLOOKUP($D36,'Factores generales'!$C$6:$Q$34,I$1),"")</f>
        <v/>
      </c>
      <c r="J36" s="80" t="str">
        <f>IF(ISNUMBER($D36),VLOOKUP($D36,'Factores generales'!$C$6:$Q$34,J$1),"")</f>
        <v/>
      </c>
      <c r="K36" s="80" t="str">
        <f>IF(ISNUMBER($D36),VLOOKUP($D36,'Factores generales'!$C$6:$Q$34,K$1),"")</f>
        <v/>
      </c>
      <c r="L36" s="113"/>
      <c r="M36" s="113"/>
      <c r="N36" s="113"/>
      <c r="O36" s="80" t="str">
        <f>IF(ISNUMBER($D36),VLOOKUP($D36,'Factores generales'!$C$6:$Q$34,O$1),"")</f>
        <v/>
      </c>
      <c r="P36" s="80" t="str">
        <f>IF(ISNUMBER($D36),VLOOKUP($D36,'Factores generales'!$C$6:$Q$34,P$1),"")</f>
        <v/>
      </c>
    </row>
    <row r="37" spans="1:16" x14ac:dyDescent="0.25">
      <c r="A37" s="10"/>
      <c r="B37" s="1"/>
      <c r="D37" s="11">
        <v>301</v>
      </c>
      <c r="E37" s="11" t="s">
        <v>98</v>
      </c>
      <c r="F37" t="s">
        <v>106</v>
      </c>
      <c r="H37" s="80">
        <f>IF(ISNUMBER($D37),VLOOKUP($D37,'Factores generales'!$C$6:$Q$34,H$1),"")</f>
        <v>34.512</v>
      </c>
      <c r="I37" s="80">
        <f>IF(ISNUMBER($D37),VLOOKUP($D37,'Factores generales'!$C$6:$Q$34,I$1),"")</f>
        <v>56.1</v>
      </c>
      <c r="J37" s="80">
        <f>IF(ISNUMBER($D37),VLOOKUP($D37,'Factores generales'!$C$6:$Q$34,J$1),"")</f>
        <v>1</v>
      </c>
      <c r="K37" s="80">
        <f>IF(ISNUMBER($D37),VLOOKUP($D37,'Factores generales'!$C$6:$Q$34,K$1),"")</f>
        <v>0.1</v>
      </c>
      <c r="L37" s="113">
        <v>150</v>
      </c>
      <c r="M37" s="113">
        <v>30</v>
      </c>
      <c r="N37" s="113">
        <v>5</v>
      </c>
      <c r="O37" s="80">
        <f>IF(ISNUMBER($D37),VLOOKUP($D37,'Factores generales'!$C$6:$Q$34,O$1),"")</f>
        <v>0</v>
      </c>
      <c r="P37" s="80">
        <f>IF(ISNUMBER($D37),VLOOKUP($D37,'Factores generales'!$C$6:$Q$34,P$1),"")</f>
        <v>0.995</v>
      </c>
    </row>
    <row r="38" spans="1:16" x14ac:dyDescent="0.25">
      <c r="A38" s="10"/>
      <c r="B38" s="1"/>
      <c r="D38" s="11">
        <v>304</v>
      </c>
      <c r="E38" s="11" t="s">
        <v>98</v>
      </c>
      <c r="F38" t="s">
        <v>13</v>
      </c>
      <c r="H38" s="80">
        <f>IF(ISNUMBER($D38),VLOOKUP($D38,'Factores generales'!$C$6:$Q$34,H$1),"")</f>
        <v>2.9565900000000003</v>
      </c>
      <c r="I38" s="80">
        <f>IF(ISNUMBER($D38),VLOOKUP($D38,'Factores generales'!$C$6:$Q$34,I$1),"")</f>
        <v>260</v>
      </c>
      <c r="J38" s="80">
        <f>IF(ISNUMBER($D38),VLOOKUP($D38,'Factores generales'!$C$6:$Q$34,J$1),"")</f>
        <v>1</v>
      </c>
      <c r="K38" s="80">
        <f>IF(ISNUMBER($D38),VLOOKUP($D38,'Factores generales'!$C$6:$Q$34,K$1),"")</f>
        <v>0.1</v>
      </c>
      <c r="L38" s="118">
        <f>L37</f>
        <v>150</v>
      </c>
      <c r="M38" s="118">
        <f>M37</f>
        <v>30</v>
      </c>
      <c r="N38" s="118">
        <f>N37</f>
        <v>5</v>
      </c>
      <c r="O38" s="80">
        <f>IF(ISNUMBER($D38),VLOOKUP($D38,'Factores generales'!$C$6:$Q$34,O$1),"")</f>
        <v>0</v>
      </c>
      <c r="P38" s="80">
        <f>IF(ISNUMBER($D38),VLOOKUP($D38,'Factores generales'!$C$6:$Q$34,P$1),"")</f>
        <v>0.995</v>
      </c>
    </row>
    <row r="39" spans="1:16" x14ac:dyDescent="0.25">
      <c r="A39" s="10"/>
      <c r="B39" s="1"/>
      <c r="D39" s="11">
        <v>302</v>
      </c>
      <c r="E39" s="11" t="s">
        <v>98</v>
      </c>
      <c r="F39" t="s">
        <v>14</v>
      </c>
      <c r="H39" s="80">
        <f>IF(ISNUMBER($D39),VLOOKUP($D39,'Factores generales'!$C$6:$Q$34,H$1),"")</f>
        <v>15.325200000000002</v>
      </c>
      <c r="I39" s="80">
        <f>IF(ISNUMBER($D39),VLOOKUP($D39,'Factores generales'!$C$6:$Q$34,I$1),"")</f>
        <v>44.4</v>
      </c>
      <c r="J39" s="80">
        <f>IF(ISNUMBER($D39),VLOOKUP($D39,'Factores generales'!$C$6:$Q$34,J$1),"")</f>
        <v>1</v>
      </c>
      <c r="K39" s="80">
        <f>IF(ISNUMBER($D39),VLOOKUP($D39,'Factores generales'!$C$6:$Q$34,K$1),"")</f>
        <v>0.1</v>
      </c>
      <c r="L39" s="118">
        <f>L37</f>
        <v>150</v>
      </c>
      <c r="M39" s="118">
        <f>M37</f>
        <v>30</v>
      </c>
      <c r="N39" s="118">
        <f>N37</f>
        <v>5</v>
      </c>
      <c r="O39" s="80">
        <f>IF(ISNUMBER($D39),VLOOKUP($D39,'Factores generales'!$C$6:$Q$34,O$1),"")</f>
        <v>0</v>
      </c>
      <c r="P39" s="80">
        <f>IF(ISNUMBER($D39),VLOOKUP($D39,'Factores generales'!$C$6:$Q$34,P$1),"")</f>
        <v>0.995</v>
      </c>
    </row>
    <row r="40" spans="1:16" x14ac:dyDescent="0.25">
      <c r="A40" s="10"/>
      <c r="B40" s="1"/>
      <c r="D40" s="11">
        <v>206</v>
      </c>
      <c r="E40" s="11" t="s">
        <v>98</v>
      </c>
      <c r="F40" t="s">
        <v>249</v>
      </c>
      <c r="H40" s="80">
        <f>IF(ISNUMBER($D40),VLOOKUP($D40,'Factores generales'!$C$6:$Q$34,H$1),"")</f>
        <v>43</v>
      </c>
      <c r="I40" s="80">
        <f>IF(ISNUMBER($D40),VLOOKUP($D40,'Factores generales'!$C$6:$Q$34,I$1),"")</f>
        <v>74.099999999999994</v>
      </c>
      <c r="J40" s="80">
        <f>IF(ISNUMBER($D40),VLOOKUP($D40,'Factores generales'!$C$6:$Q$34,J$1),"")</f>
        <v>3</v>
      </c>
      <c r="K40" s="80">
        <f>IF(ISNUMBER($D40),VLOOKUP($D40,'Factores generales'!$C$6:$Q$34,K$1),"")</f>
        <v>0.6</v>
      </c>
      <c r="L40" s="113">
        <v>200</v>
      </c>
      <c r="M40" s="113">
        <v>10</v>
      </c>
      <c r="N40" s="113">
        <v>5</v>
      </c>
      <c r="O40" s="80">
        <f>IF(ISNUMBER($D40),VLOOKUP($D40,'Factores generales'!$C$6:$Q$34,O$1),"")</f>
        <v>36.279069767441861</v>
      </c>
      <c r="P40" s="80">
        <f>IF(ISNUMBER($D40),VLOOKUP($D40,'Factores generales'!$C$6:$Q$34,P$1),"")</f>
        <v>0.99</v>
      </c>
    </row>
    <row r="41" spans="1:16" x14ac:dyDescent="0.25">
      <c r="A41" s="10"/>
      <c r="B41" s="1"/>
      <c r="D41" s="11">
        <v>207</v>
      </c>
      <c r="E41" s="11" t="s">
        <v>98</v>
      </c>
      <c r="F41" t="s">
        <v>250</v>
      </c>
      <c r="H41" s="80">
        <f>IF(ISNUMBER($D41),VLOOKUP($D41,'Factores generales'!$C$6:$Q$34,H$1),"")</f>
        <v>40.4</v>
      </c>
      <c r="I41" s="80">
        <f>IF(ISNUMBER($D41),VLOOKUP($D41,'Factores generales'!$C$6:$Q$34,I$1),"")</f>
        <v>77.400000000000006</v>
      </c>
      <c r="J41" s="80">
        <f>IF(ISNUMBER($D41),VLOOKUP($D41,'Factores generales'!$C$6:$Q$34,J$1),"")</f>
        <v>3</v>
      </c>
      <c r="K41" s="80">
        <f>IF(ISNUMBER($D41),VLOOKUP($D41,'Factores generales'!$C$6:$Q$34,K$1),"")</f>
        <v>0.6</v>
      </c>
      <c r="L41" s="113">
        <v>200</v>
      </c>
      <c r="M41" s="113">
        <v>10</v>
      </c>
      <c r="N41" s="113">
        <v>5</v>
      </c>
      <c r="O41" s="80">
        <f>IF(ISNUMBER($D41),VLOOKUP($D41,'Factores generales'!$C$6:$Q$34,O$1),"")</f>
        <v>198.01980198019803</v>
      </c>
      <c r="P41" s="80">
        <f>IF(ISNUMBER($D41),VLOOKUP($D41,'Factores generales'!$C$6:$Q$34,P$1),"")</f>
        <v>0.99</v>
      </c>
    </row>
    <row r="42" spans="1:16" x14ac:dyDescent="0.25">
      <c r="A42" s="10"/>
      <c r="B42" s="1"/>
      <c r="D42" s="11">
        <v>106</v>
      </c>
      <c r="E42" s="11" t="s">
        <v>98</v>
      </c>
      <c r="F42" t="s">
        <v>253</v>
      </c>
      <c r="H42" s="80">
        <f>IF(ISNUMBER($D42),VLOOKUP($D42,'Factores generales'!$C$6:$Q$34,H$1),"")</f>
        <v>32.5</v>
      </c>
      <c r="I42" s="80">
        <f>IF(ISNUMBER($D42),VLOOKUP($D42,'Factores generales'!$C$6:$Q$34,I$1),"")</f>
        <v>97.5</v>
      </c>
      <c r="J42" s="80">
        <f>IF(ISNUMBER($D42),VLOOKUP($D42,'Factores generales'!$C$6:$Q$34,J$1),"")</f>
        <v>1</v>
      </c>
      <c r="K42" s="80">
        <f>IF(ISNUMBER($D42),VLOOKUP($D42,'Factores generales'!$C$6:$Q$34,K$1),"")</f>
        <v>1.5000000000000002</v>
      </c>
      <c r="L42" s="118">
        <v>300</v>
      </c>
      <c r="M42" s="118">
        <v>150</v>
      </c>
      <c r="N42" s="118">
        <v>20</v>
      </c>
      <c r="O42" s="80">
        <f>IF(ISNUMBER($D42),VLOOKUP($D42,'Factores generales'!$C$6:$Q$34,O$1),"")</f>
        <v>0</v>
      </c>
      <c r="P42" s="80">
        <f>IF(ISNUMBER($D42),VLOOKUP($D42,'Factores generales'!$C$6:$Q$34,P$1),"")</f>
        <v>0.98</v>
      </c>
    </row>
    <row r="43" spans="1:16" x14ac:dyDescent="0.25">
      <c r="A43" s="10"/>
      <c r="B43" s="1"/>
      <c r="D43" s="11">
        <v>104</v>
      </c>
      <c r="E43" s="11" t="s">
        <v>98</v>
      </c>
      <c r="F43" t="s">
        <v>254</v>
      </c>
      <c r="H43" s="80">
        <f>IF(ISNUMBER($D43),VLOOKUP($D43,'Factores generales'!$C$6:$Q$34,H$1),"")</f>
        <v>32.5</v>
      </c>
      <c r="I43" s="80">
        <f>IF(ISNUMBER($D43),VLOOKUP($D43,'Factores generales'!$C$6:$Q$34,I$1),"")</f>
        <v>97.5</v>
      </c>
      <c r="J43" s="80">
        <f>IF(ISNUMBER($D43),VLOOKUP($D43,'Factores generales'!$C$6:$Q$34,J$1),"")</f>
        <v>1</v>
      </c>
      <c r="K43" s="80">
        <f>IF(ISNUMBER($D43),VLOOKUP($D43,'Factores generales'!$C$6:$Q$34,K$1),"")</f>
        <v>1.5000000000000002</v>
      </c>
      <c r="L43" s="118">
        <f>L42</f>
        <v>300</v>
      </c>
      <c r="M43" s="118">
        <f t="shared" ref="M43:N43" si="2">M42</f>
        <v>150</v>
      </c>
      <c r="N43" s="118">
        <f t="shared" si="2"/>
        <v>20</v>
      </c>
      <c r="O43" s="80">
        <f>IF(ISNUMBER($D43),VLOOKUP($D43,'Factores generales'!$C$6:$Q$34,O$1),"")</f>
        <v>0</v>
      </c>
      <c r="P43" s="80">
        <f>IF(ISNUMBER($D43),VLOOKUP($D43,'Factores generales'!$C$6:$Q$34,P$1),"")</f>
        <v>0.98</v>
      </c>
    </row>
    <row r="44" spans="1:16" x14ac:dyDescent="0.25">
      <c r="A44" s="10" t="s">
        <v>29</v>
      </c>
      <c r="B44" s="1" t="s">
        <v>41</v>
      </c>
      <c r="D44" s="11"/>
      <c r="E44"/>
      <c r="F44"/>
      <c r="H44" s="80" t="str">
        <f>IF(ISNUMBER($D44),VLOOKUP($D44,'Factores generales'!$C$6:$Q$34,H$1),"")</f>
        <v/>
      </c>
      <c r="I44" s="80" t="str">
        <f>IF(ISNUMBER($D44),VLOOKUP($D44,'Factores generales'!$C$6:$Q$34,I$1),"")</f>
        <v/>
      </c>
      <c r="J44" s="80" t="str">
        <f>IF(ISNUMBER($D44),VLOOKUP($D44,'Factores generales'!$C$6:$Q$34,J$1),"")</f>
        <v/>
      </c>
      <c r="K44" s="80" t="str">
        <f>IF(ISNUMBER($D44),VLOOKUP($D44,'Factores generales'!$C$6:$Q$34,K$1),"")</f>
        <v/>
      </c>
      <c r="L44" s="113"/>
      <c r="M44" s="113"/>
      <c r="N44" s="113"/>
      <c r="O44" s="80" t="str">
        <f>IF(ISNUMBER($D44),VLOOKUP($D44,'Factores generales'!$C$6:$Q$34,O$1),"")</f>
        <v/>
      </c>
      <c r="P44" s="80" t="str">
        <f>IF(ISNUMBER($D44),VLOOKUP($D44,'Factores generales'!$C$6:$Q$34,P$1),"")</f>
        <v/>
      </c>
    </row>
    <row r="45" spans="1:16" x14ac:dyDescent="0.25">
      <c r="A45" s="10"/>
      <c r="B45" s="1"/>
      <c r="D45" s="11">
        <v>301</v>
      </c>
      <c r="E45" s="11" t="s">
        <v>98</v>
      </c>
      <c r="F45" t="s">
        <v>106</v>
      </c>
      <c r="H45" s="80">
        <f>IF(ISNUMBER($D45),VLOOKUP($D45,'Factores generales'!$C$6:$Q$34,H$1),"")</f>
        <v>34.512</v>
      </c>
      <c r="I45" s="80">
        <f>IF(ISNUMBER($D45),VLOOKUP($D45,'Factores generales'!$C$6:$Q$34,I$1),"")</f>
        <v>56.1</v>
      </c>
      <c r="J45" s="80">
        <f>IF(ISNUMBER($D45),VLOOKUP($D45,'Factores generales'!$C$6:$Q$34,J$1),"")</f>
        <v>1</v>
      </c>
      <c r="K45" s="80">
        <f>IF(ISNUMBER($D45),VLOOKUP($D45,'Factores generales'!$C$6:$Q$34,K$1),"")</f>
        <v>0.1</v>
      </c>
      <c r="L45" s="113">
        <v>150</v>
      </c>
      <c r="M45" s="113">
        <v>30</v>
      </c>
      <c r="N45" s="113">
        <v>5</v>
      </c>
      <c r="O45" s="80">
        <f>IF(ISNUMBER($D45),VLOOKUP($D45,'Factores generales'!$C$6:$Q$34,O$1),"")</f>
        <v>0</v>
      </c>
      <c r="P45" s="80">
        <f>IF(ISNUMBER($D45),VLOOKUP($D45,'Factores generales'!$C$6:$Q$34,P$1),"")</f>
        <v>0.995</v>
      </c>
    </row>
    <row r="46" spans="1:16" x14ac:dyDescent="0.25">
      <c r="A46" s="10" t="s">
        <v>30</v>
      </c>
      <c r="B46" s="1" t="s">
        <v>42</v>
      </c>
      <c r="D46" s="11"/>
      <c r="E46"/>
      <c r="F46"/>
      <c r="H46" s="80" t="str">
        <f>IF(ISNUMBER($D46),VLOOKUP($D46,'Factores generales'!$C$6:$Q$34,H$1),"")</f>
        <v/>
      </c>
      <c r="I46" s="80" t="str">
        <f>IF(ISNUMBER($D46),VLOOKUP($D46,'Factores generales'!$C$6:$Q$34,I$1),"")</f>
        <v/>
      </c>
      <c r="J46" s="80" t="str">
        <f>IF(ISNUMBER($D46),VLOOKUP($D46,'Factores generales'!$C$6:$Q$34,J$1),"")</f>
        <v/>
      </c>
      <c r="K46" s="80" t="str">
        <f>IF(ISNUMBER($D46),VLOOKUP($D46,'Factores generales'!$C$6:$Q$34,K$1),"")</f>
        <v/>
      </c>
      <c r="L46" s="113"/>
      <c r="M46" s="113"/>
      <c r="N46" s="113"/>
      <c r="O46" s="80" t="str">
        <f>IF(ISNUMBER($D46),VLOOKUP($D46,'Factores generales'!$C$6:$Q$34,O$1),"")</f>
        <v/>
      </c>
      <c r="P46" s="80" t="str">
        <f>IF(ISNUMBER($D46),VLOOKUP($D46,'Factores generales'!$C$6:$Q$34,P$1),"")</f>
        <v/>
      </c>
    </row>
    <row r="47" spans="1:16" x14ac:dyDescent="0.25">
      <c r="A47" s="10"/>
      <c r="B47" s="1"/>
      <c r="D47" s="11">
        <v>301</v>
      </c>
      <c r="E47" s="11" t="s">
        <v>98</v>
      </c>
      <c r="F47" t="s">
        <v>106</v>
      </c>
      <c r="H47" s="80">
        <f>IF(ISNUMBER($D47),VLOOKUP($D47,'Factores generales'!$C$6:$Q$34,H$1),"")</f>
        <v>34.512</v>
      </c>
      <c r="I47" s="80">
        <f>IF(ISNUMBER($D47),VLOOKUP($D47,'Factores generales'!$C$6:$Q$34,I$1),"")</f>
        <v>56.1</v>
      </c>
      <c r="J47" s="80">
        <f>IF(ISNUMBER($D47),VLOOKUP($D47,'Factores generales'!$C$6:$Q$34,J$1),"")</f>
        <v>1</v>
      </c>
      <c r="K47" s="80">
        <f>IF(ISNUMBER($D47),VLOOKUP($D47,'Factores generales'!$C$6:$Q$34,K$1),"")</f>
        <v>0.1</v>
      </c>
      <c r="L47" s="113">
        <v>150</v>
      </c>
      <c r="M47" s="113">
        <v>30</v>
      </c>
      <c r="N47" s="113">
        <v>5</v>
      </c>
      <c r="O47" s="80">
        <f>IF(ISNUMBER($D47),VLOOKUP($D47,'Factores generales'!$C$6:$Q$34,O$1),"")</f>
        <v>0</v>
      </c>
      <c r="P47" s="80">
        <f>IF(ISNUMBER($D47),VLOOKUP($D47,'Factores generales'!$C$6:$Q$34,P$1),"")</f>
        <v>0.995</v>
      </c>
    </row>
    <row r="48" spans="1:16" x14ac:dyDescent="0.25">
      <c r="A48" s="10"/>
      <c r="B48" s="1"/>
      <c r="D48" s="11">
        <v>303</v>
      </c>
      <c r="E48" s="11" t="s">
        <v>98</v>
      </c>
      <c r="F48" s="11" t="s">
        <v>10</v>
      </c>
      <c r="H48" s="80">
        <f>IF(ISNUMBER($D48),VLOOKUP($D48,'Factores generales'!$C$6:$Q$34,H$1),"")</f>
        <v>36.580500000000001</v>
      </c>
      <c r="I48" s="80">
        <f>IF(ISNUMBER($D48),VLOOKUP($D48,'Factores generales'!$C$6:$Q$34,I$1),"")</f>
        <v>57.6</v>
      </c>
      <c r="J48" s="80">
        <f>IF(ISNUMBER($D48),VLOOKUP($D48,'Factores generales'!$C$6:$Q$34,J$1),"")</f>
        <v>1</v>
      </c>
      <c r="K48" s="80">
        <f>IF(ISNUMBER($D48),VLOOKUP($D48,'Factores generales'!$C$6:$Q$34,K$1),"")</f>
        <v>0.1</v>
      </c>
      <c r="L48" s="118">
        <f>L47</f>
        <v>150</v>
      </c>
      <c r="M48" s="118">
        <f>M47</f>
        <v>30</v>
      </c>
      <c r="N48" s="118">
        <f>N47</f>
        <v>5</v>
      </c>
      <c r="O48" s="80">
        <f>IF(ISNUMBER($D48),VLOOKUP($D48,'Factores generales'!$C$6:$Q$34,O$1),"")</f>
        <v>0</v>
      </c>
      <c r="P48" s="80">
        <f>IF(ISNUMBER($D48),VLOOKUP($D48,'Factores generales'!$C$6:$Q$34,P$1),"")</f>
        <v>0.995</v>
      </c>
    </row>
    <row r="49" spans="1:16" x14ac:dyDescent="0.25">
      <c r="A49" s="10"/>
      <c r="B49" s="1"/>
      <c r="D49" s="11">
        <v>206</v>
      </c>
      <c r="E49" s="11" t="s">
        <v>98</v>
      </c>
      <c r="F49" t="s">
        <v>249</v>
      </c>
      <c r="H49" s="80">
        <f>IF(ISNUMBER($D49),VLOOKUP($D49,'Factores generales'!$C$6:$Q$34,H$1),"")</f>
        <v>43</v>
      </c>
      <c r="I49" s="80">
        <f>IF(ISNUMBER($D49),VLOOKUP($D49,'Factores generales'!$C$6:$Q$34,I$1),"")</f>
        <v>74.099999999999994</v>
      </c>
      <c r="J49" s="80">
        <f>IF(ISNUMBER($D49),VLOOKUP($D49,'Factores generales'!$C$6:$Q$34,J$1),"")</f>
        <v>3</v>
      </c>
      <c r="K49" s="80">
        <f>IF(ISNUMBER($D49),VLOOKUP($D49,'Factores generales'!$C$6:$Q$34,K$1),"")</f>
        <v>0.6</v>
      </c>
      <c r="L49" s="113">
        <v>200</v>
      </c>
      <c r="M49" s="113">
        <v>10</v>
      </c>
      <c r="N49" s="113">
        <v>5</v>
      </c>
      <c r="O49" s="80">
        <f>IF(ISNUMBER($D49),VLOOKUP($D49,'Factores generales'!$C$6:$Q$34,O$1),"")</f>
        <v>36.279069767441861</v>
      </c>
      <c r="P49" s="80">
        <f>IF(ISNUMBER($D49),VLOOKUP($D49,'Factores generales'!$C$6:$Q$34,P$1),"")</f>
        <v>0.99</v>
      </c>
    </row>
    <row r="50" spans="1:16" x14ac:dyDescent="0.25">
      <c r="A50" s="10"/>
      <c r="B50" s="1"/>
      <c r="D50" s="11">
        <v>208</v>
      </c>
      <c r="E50" s="11" t="s">
        <v>98</v>
      </c>
      <c r="F50" t="s">
        <v>255</v>
      </c>
      <c r="H50" s="80">
        <f>IF(ISNUMBER($D50),VLOOKUP($D50,'Factores generales'!$C$6:$Q$34,H$1),"")</f>
        <v>47.3</v>
      </c>
      <c r="I50" s="80">
        <f>IF(ISNUMBER($D50),VLOOKUP($D50,'Factores generales'!$C$6:$Q$34,I$1),"")</f>
        <v>63.1</v>
      </c>
      <c r="J50" s="80">
        <f>IF(ISNUMBER($D50),VLOOKUP($D50,'Factores generales'!$C$6:$Q$34,J$1),"")</f>
        <v>1</v>
      </c>
      <c r="K50" s="80">
        <f>IF(ISNUMBER($D50),VLOOKUP($D50,'Factores generales'!$C$6:$Q$34,K$1),"")</f>
        <v>0.1</v>
      </c>
      <c r="L50" s="118">
        <f>L47</f>
        <v>150</v>
      </c>
      <c r="M50" s="118">
        <f>M47</f>
        <v>30</v>
      </c>
      <c r="N50" s="118">
        <f>N47</f>
        <v>5</v>
      </c>
      <c r="O50" s="80">
        <f>IF(ISNUMBER($D50),VLOOKUP($D50,'Factores generales'!$C$6:$Q$34,O$1),"")</f>
        <v>4.2283298097251594</v>
      </c>
      <c r="P50" s="80">
        <f>IF(ISNUMBER($D50),VLOOKUP($D50,'Factores generales'!$C$6:$Q$34,P$1),"")</f>
        <v>0.99</v>
      </c>
    </row>
    <row r="51" spans="1:16" x14ac:dyDescent="0.25">
      <c r="A51" s="10"/>
      <c r="B51" s="1"/>
      <c r="D51" s="11">
        <v>207</v>
      </c>
      <c r="E51" s="11" t="s">
        <v>98</v>
      </c>
      <c r="F51" t="s">
        <v>250</v>
      </c>
      <c r="H51" s="80">
        <f>IF(ISNUMBER($D51),VLOOKUP($D51,'Factores generales'!$C$6:$Q$34,H$1),"")</f>
        <v>40.4</v>
      </c>
      <c r="I51" s="80">
        <f>IF(ISNUMBER($D51),VLOOKUP($D51,'Factores generales'!$C$6:$Q$34,I$1),"")</f>
        <v>77.400000000000006</v>
      </c>
      <c r="J51" s="80">
        <f>IF(ISNUMBER($D51),VLOOKUP($D51,'Factores generales'!$C$6:$Q$34,J$1),"")</f>
        <v>3</v>
      </c>
      <c r="K51" s="80">
        <f>IF(ISNUMBER($D51),VLOOKUP($D51,'Factores generales'!$C$6:$Q$34,K$1),"")</f>
        <v>0.6</v>
      </c>
      <c r="L51" s="113">
        <v>200</v>
      </c>
      <c r="M51" s="113">
        <v>10</v>
      </c>
      <c r="N51" s="113">
        <v>5</v>
      </c>
      <c r="O51" s="80">
        <f>IF(ISNUMBER($D51),VLOOKUP($D51,'Factores generales'!$C$6:$Q$34,O$1),"")</f>
        <v>198.01980198019803</v>
      </c>
      <c r="P51" s="80">
        <f>IF(ISNUMBER($D51),VLOOKUP($D51,'Factores generales'!$C$6:$Q$34,P$1),"")</f>
        <v>0.99</v>
      </c>
    </row>
    <row r="52" spans="1:16" x14ac:dyDescent="0.25">
      <c r="A52" s="10"/>
      <c r="B52" s="1"/>
      <c r="D52" s="11">
        <v>406</v>
      </c>
      <c r="E52" s="11" t="s">
        <v>98</v>
      </c>
      <c r="F52" t="s">
        <v>256</v>
      </c>
      <c r="H52" s="80">
        <f>IF(ISNUMBER($D52),VLOOKUP($D52,'Factores generales'!$C$6:$Q$34,H$1),"")</f>
        <v>11.6</v>
      </c>
      <c r="I52" s="80">
        <f>IF(ISNUMBER($D52),VLOOKUP($D52,'Factores generales'!$C$6:$Q$34,I$1),"")</f>
        <v>100</v>
      </c>
      <c r="J52" s="80">
        <f>IF(ISNUMBER($D52),VLOOKUP($D52,'Factores generales'!$C$6:$Q$34,J$1),"")</f>
        <v>30</v>
      </c>
      <c r="K52" s="80">
        <f>IF(ISNUMBER($D52),VLOOKUP($D52,'Factores generales'!$C$6:$Q$34,K$1),"")</f>
        <v>4</v>
      </c>
      <c r="L52" s="113">
        <v>100</v>
      </c>
      <c r="M52" s="113">
        <v>4000</v>
      </c>
      <c r="N52" s="113">
        <v>50</v>
      </c>
      <c r="O52" s="80">
        <f>IF(ISNUMBER($D52),VLOOKUP($D52,'Factores generales'!$C$6:$Q$34,O$1),"")</f>
        <v>0</v>
      </c>
      <c r="P52" s="80">
        <f>IF(ISNUMBER($D52),VLOOKUP($D52,'Factores generales'!$C$6:$Q$34,P$1),"")</f>
        <v>0.87</v>
      </c>
    </row>
    <row r="53" spans="1:16" x14ac:dyDescent="0.25">
      <c r="A53" s="10"/>
      <c r="B53" s="1"/>
      <c r="D53" s="11">
        <v>106</v>
      </c>
      <c r="E53" s="27" t="s">
        <v>98</v>
      </c>
      <c r="F53" t="s">
        <v>16</v>
      </c>
      <c r="H53" s="80">
        <f>IF(ISNUMBER($D53),VLOOKUP($D53,'Factores generales'!$C$6:$Q$34,H$1),"")</f>
        <v>32.5</v>
      </c>
      <c r="I53" s="80">
        <f>IF(ISNUMBER($D53),VLOOKUP($D53,'Factores generales'!$C$6:$Q$34,I$1),"")</f>
        <v>97.5</v>
      </c>
      <c r="J53" s="80">
        <f>IF(ISNUMBER($D53),VLOOKUP($D53,'Factores generales'!$C$6:$Q$34,J$1),"")</f>
        <v>1</v>
      </c>
      <c r="K53" s="80">
        <f>IF(ISNUMBER($D53),VLOOKUP($D53,'Factores generales'!$C$6:$Q$34,K$1),"")</f>
        <v>1.5000000000000002</v>
      </c>
      <c r="L53" s="118">
        <f>L42</f>
        <v>300</v>
      </c>
      <c r="M53" s="118">
        <f t="shared" ref="M53:N53" si="3">M42</f>
        <v>150</v>
      </c>
      <c r="N53" s="118">
        <f t="shared" si="3"/>
        <v>20</v>
      </c>
      <c r="O53" s="80">
        <f>IF(ISNUMBER($D53),VLOOKUP($D53,'Factores generales'!$C$6:$Q$34,O$1),"")</f>
        <v>0</v>
      </c>
      <c r="P53" s="80">
        <f>IF(ISNUMBER($D53),VLOOKUP($D53,'Factores generales'!$C$6:$Q$34,P$1),"")</f>
        <v>0.98</v>
      </c>
    </row>
    <row r="54" spans="1:16" x14ac:dyDescent="0.25">
      <c r="A54" s="10"/>
      <c r="B54" s="1"/>
      <c r="D54" s="11">
        <v>401</v>
      </c>
      <c r="E54" s="11" t="s">
        <v>98</v>
      </c>
      <c r="F54" t="s">
        <v>258</v>
      </c>
      <c r="H54" s="80">
        <f>IF(ISNUMBER($D54),VLOOKUP($D54,'Factores generales'!$C$6:$Q$34,H$1),"")</f>
        <v>15.6</v>
      </c>
      <c r="I54" s="80">
        <f>IF(ISNUMBER($D54),VLOOKUP($D54,'Factores generales'!$C$6:$Q$34,I$1),"")</f>
        <v>112</v>
      </c>
      <c r="J54" s="80">
        <f>IF(ISNUMBER($D54),VLOOKUP($D54,'Factores generales'!$C$6:$Q$34,J$1),"")</f>
        <v>30</v>
      </c>
      <c r="K54" s="80">
        <f>IF(ISNUMBER($D54),VLOOKUP($D54,'Factores generales'!$C$6:$Q$34,K$1),"")</f>
        <v>4</v>
      </c>
      <c r="L54" s="113">
        <v>100</v>
      </c>
      <c r="M54" s="113">
        <v>2000</v>
      </c>
      <c r="N54" s="113">
        <v>50</v>
      </c>
      <c r="O54" s="80">
        <f>IF(ISNUMBER($D54),VLOOKUP($D54,'Factores generales'!$C$6:$Q$34,O$1),"")</f>
        <v>256.41025641025641</v>
      </c>
      <c r="P54" s="80">
        <f>IF(ISNUMBER($D54),VLOOKUP($D54,'Factores generales'!$C$6:$Q$34,P$1),"")</f>
        <v>0.87</v>
      </c>
    </row>
    <row r="55" spans="1:16" x14ac:dyDescent="0.25">
      <c r="A55" s="10" t="s">
        <v>31</v>
      </c>
      <c r="B55" s="1" t="s">
        <v>43</v>
      </c>
      <c r="D55" s="11"/>
      <c r="E55"/>
      <c r="F55"/>
      <c r="H55" s="80" t="str">
        <f>IF(ISNUMBER($D55),VLOOKUP($D55,'Factores generales'!$C$6:$Q$34,H$1),"")</f>
        <v/>
      </c>
      <c r="I55" s="80" t="str">
        <f>IF(ISNUMBER($D55),VLOOKUP($D55,'Factores generales'!$C$6:$Q$34,I$1),"")</f>
        <v/>
      </c>
      <c r="J55" s="80" t="str">
        <f>IF(ISNUMBER($D55),VLOOKUP($D55,'Factores generales'!$C$6:$Q$34,J$1),"")</f>
        <v/>
      </c>
      <c r="K55" s="80" t="str">
        <f>IF(ISNUMBER($D55),VLOOKUP($D55,'Factores generales'!$C$6:$Q$34,K$1),"")</f>
        <v/>
      </c>
      <c r="L55" s="113"/>
      <c r="M55" s="113"/>
      <c r="N55" s="113"/>
      <c r="O55" s="80" t="str">
        <f>IF(ISNUMBER($D55),VLOOKUP($D55,'Factores generales'!$C$6:$Q$34,O$1),"")</f>
        <v/>
      </c>
      <c r="P55" s="80" t="str">
        <f>IF(ISNUMBER($D55),VLOOKUP($D55,'Factores generales'!$C$6:$Q$34,P$1),"")</f>
        <v/>
      </c>
    </row>
    <row r="56" spans="1:16" x14ac:dyDescent="0.25">
      <c r="A56" s="10"/>
      <c r="B56" s="1"/>
      <c r="D56" s="11">
        <v>301</v>
      </c>
      <c r="E56" s="11" t="s">
        <v>98</v>
      </c>
      <c r="F56" t="s">
        <v>106</v>
      </c>
      <c r="H56" s="80">
        <f>IF(ISNUMBER($D56),VLOOKUP($D56,'Factores generales'!$C$6:$Q$34,H$1),"")</f>
        <v>34.512</v>
      </c>
      <c r="I56" s="80">
        <f>IF(ISNUMBER($D56),VLOOKUP($D56,'Factores generales'!$C$6:$Q$34,I$1),"")</f>
        <v>56.1</v>
      </c>
      <c r="J56" s="80">
        <f>IF(ISNUMBER($D56),VLOOKUP($D56,'Factores generales'!$C$6:$Q$34,J$1),"")</f>
        <v>1</v>
      </c>
      <c r="K56" s="80">
        <f>IF(ISNUMBER($D56),VLOOKUP($D56,'Factores generales'!$C$6:$Q$34,K$1),"")</f>
        <v>0.1</v>
      </c>
      <c r="L56" s="113">
        <v>150</v>
      </c>
      <c r="M56" s="113">
        <v>30</v>
      </c>
      <c r="N56" s="113">
        <v>5</v>
      </c>
      <c r="O56" s="80">
        <f>IF(ISNUMBER($D56),VLOOKUP($D56,'Factores generales'!$C$6:$Q$34,O$1),"")</f>
        <v>0</v>
      </c>
      <c r="P56" s="80">
        <f>IF(ISNUMBER($D56),VLOOKUP($D56,'Factores generales'!$C$6:$Q$34,P$1),"")</f>
        <v>0.995</v>
      </c>
    </row>
    <row r="57" spans="1:16" x14ac:dyDescent="0.25">
      <c r="A57" s="10"/>
      <c r="B57" s="1"/>
      <c r="D57" s="11">
        <v>206</v>
      </c>
      <c r="E57" s="11" t="s">
        <v>98</v>
      </c>
      <c r="F57" t="s">
        <v>249</v>
      </c>
      <c r="H57" s="80">
        <f>IF(ISNUMBER($D57),VLOOKUP($D57,'Factores generales'!$C$6:$Q$34,H$1),"")</f>
        <v>43</v>
      </c>
      <c r="I57" s="80">
        <f>IF(ISNUMBER($D57),VLOOKUP($D57,'Factores generales'!$C$6:$Q$34,I$1),"")</f>
        <v>74.099999999999994</v>
      </c>
      <c r="J57" s="80">
        <f>IF(ISNUMBER($D57),VLOOKUP($D57,'Factores generales'!$C$6:$Q$34,J$1),"")</f>
        <v>3</v>
      </c>
      <c r="K57" s="80">
        <f>IF(ISNUMBER($D57),VLOOKUP($D57,'Factores generales'!$C$6:$Q$34,K$1),"")</f>
        <v>0.6</v>
      </c>
      <c r="L57" s="113">
        <v>200</v>
      </c>
      <c r="M57" s="113">
        <v>10</v>
      </c>
      <c r="N57" s="113">
        <v>5</v>
      </c>
      <c r="O57" s="80">
        <f>IF(ISNUMBER($D57),VLOOKUP($D57,'Factores generales'!$C$6:$Q$34,O$1),"")</f>
        <v>36.279069767441861</v>
      </c>
      <c r="P57" s="80">
        <f>IF(ISNUMBER($D57),VLOOKUP($D57,'Factores generales'!$C$6:$Q$34,P$1),"")</f>
        <v>0.99</v>
      </c>
    </row>
    <row r="58" spans="1:16" x14ac:dyDescent="0.25">
      <c r="A58" s="10"/>
      <c r="B58" s="1"/>
      <c r="D58" s="11">
        <v>207</v>
      </c>
      <c r="E58" s="11" t="s">
        <v>98</v>
      </c>
      <c r="F58" t="s">
        <v>250</v>
      </c>
      <c r="H58" s="80">
        <f>IF(ISNUMBER($D58),VLOOKUP($D58,'Factores generales'!$C$6:$Q$34,H$1),"")</f>
        <v>40.4</v>
      </c>
      <c r="I58" s="80">
        <f>IF(ISNUMBER($D58),VLOOKUP($D58,'Factores generales'!$C$6:$Q$34,I$1),"")</f>
        <v>77.400000000000006</v>
      </c>
      <c r="J58" s="80">
        <f>IF(ISNUMBER($D58),VLOOKUP($D58,'Factores generales'!$C$6:$Q$34,J$1),"")</f>
        <v>3</v>
      </c>
      <c r="K58" s="80">
        <f>IF(ISNUMBER($D58),VLOOKUP($D58,'Factores generales'!$C$6:$Q$34,K$1),"")</f>
        <v>0.6</v>
      </c>
      <c r="L58" s="113">
        <v>200</v>
      </c>
      <c r="M58" s="113">
        <v>10</v>
      </c>
      <c r="N58" s="113">
        <v>5</v>
      </c>
      <c r="O58" s="80">
        <f>IF(ISNUMBER($D58),VLOOKUP($D58,'Factores generales'!$C$6:$Q$34,O$1),"")</f>
        <v>198.01980198019803</v>
      </c>
      <c r="P58" s="80">
        <f>IF(ISNUMBER($D58),VLOOKUP($D58,'Factores generales'!$C$6:$Q$34,P$1),"")</f>
        <v>0.99</v>
      </c>
    </row>
    <row r="59" spans="1:16" x14ac:dyDescent="0.25">
      <c r="A59" s="10"/>
      <c r="B59" s="1"/>
      <c r="D59" s="11">
        <v>403</v>
      </c>
      <c r="E59" s="11" t="s">
        <v>98</v>
      </c>
      <c r="F59" t="s">
        <v>257</v>
      </c>
      <c r="H59" s="80">
        <f>IF(ISNUMBER($D59),VLOOKUP($D59,'Factores generales'!$C$6:$Q$34,H$1),"")</f>
        <v>11.6</v>
      </c>
      <c r="I59" s="80">
        <f>IF(ISNUMBER($D59),VLOOKUP($D59,'Factores generales'!$C$6:$Q$34,I$1),"")</f>
        <v>100</v>
      </c>
      <c r="J59" s="80">
        <f>IF(ISNUMBER($D59),VLOOKUP($D59,'Factores generales'!$C$6:$Q$34,J$1),"")</f>
        <v>30</v>
      </c>
      <c r="K59" s="80">
        <f>IF(ISNUMBER($D59),VLOOKUP($D59,'Factores generales'!$C$6:$Q$34,K$1),"")</f>
        <v>4</v>
      </c>
      <c r="L59" s="113">
        <v>100</v>
      </c>
      <c r="M59" s="113">
        <v>4000</v>
      </c>
      <c r="N59" s="113">
        <v>50</v>
      </c>
      <c r="O59" s="80">
        <f>IF(ISNUMBER($D59),VLOOKUP($D59,'Factores generales'!$C$6:$Q$34,O$1),"")</f>
        <v>0</v>
      </c>
      <c r="P59" s="80">
        <f>IF(ISNUMBER($D59),VLOOKUP($D59,'Factores generales'!$C$6:$Q$34,P$1),"")</f>
        <v>0.87</v>
      </c>
    </row>
    <row r="60" spans="1:16" x14ac:dyDescent="0.25">
      <c r="A60" s="10"/>
      <c r="B60" s="1"/>
      <c r="D60" s="11">
        <v>401</v>
      </c>
      <c r="E60" s="11" t="s">
        <v>98</v>
      </c>
      <c r="F60" t="s">
        <v>258</v>
      </c>
      <c r="H60" s="80">
        <f>IF(ISNUMBER($D60),VLOOKUP($D60,'Factores generales'!$C$6:$Q$34,H$1),"")</f>
        <v>15.6</v>
      </c>
      <c r="I60" s="80">
        <f>IF(ISNUMBER($D60),VLOOKUP($D60,'Factores generales'!$C$6:$Q$34,I$1),"")</f>
        <v>112</v>
      </c>
      <c r="J60" s="80">
        <f>IF(ISNUMBER($D60),VLOOKUP($D60,'Factores generales'!$C$6:$Q$34,J$1),"")</f>
        <v>30</v>
      </c>
      <c r="K60" s="80">
        <f>IF(ISNUMBER($D60),VLOOKUP($D60,'Factores generales'!$C$6:$Q$34,K$1),"")</f>
        <v>4</v>
      </c>
      <c r="L60" s="113">
        <v>100</v>
      </c>
      <c r="M60" s="113">
        <v>2000</v>
      </c>
      <c r="N60" s="113">
        <v>50</v>
      </c>
      <c r="O60" s="80">
        <f>IF(ISNUMBER($D60),VLOOKUP($D60,'Factores generales'!$C$6:$Q$34,O$1),"")</f>
        <v>256.41025641025641</v>
      </c>
      <c r="P60" s="80">
        <f>IF(ISNUMBER($D60),VLOOKUP($D60,'Factores generales'!$C$6:$Q$34,P$1),"")</f>
        <v>0.87</v>
      </c>
    </row>
    <row r="61" spans="1:16" x14ac:dyDescent="0.25">
      <c r="A61" s="10"/>
      <c r="B61" s="1"/>
      <c r="D61" s="11">
        <v>406</v>
      </c>
      <c r="E61" s="11" t="s">
        <v>98</v>
      </c>
      <c r="F61" t="s">
        <v>256</v>
      </c>
      <c r="H61" s="80">
        <f>IF(ISNUMBER($D61),VLOOKUP($D61,'Factores generales'!$C$6:$Q$34,H$1),"")</f>
        <v>11.6</v>
      </c>
      <c r="I61" s="80">
        <f>IF(ISNUMBER($D61),VLOOKUP($D61,'Factores generales'!$C$6:$Q$34,I$1),"")</f>
        <v>100</v>
      </c>
      <c r="J61" s="80">
        <f>IF(ISNUMBER($D61),VLOOKUP($D61,'Factores generales'!$C$6:$Q$34,J$1),"")</f>
        <v>30</v>
      </c>
      <c r="K61" s="80">
        <f>IF(ISNUMBER($D61),VLOOKUP($D61,'Factores generales'!$C$6:$Q$34,K$1),"")</f>
        <v>4</v>
      </c>
      <c r="L61" s="113">
        <v>100</v>
      </c>
      <c r="M61" s="113">
        <v>4000</v>
      </c>
      <c r="N61" s="113">
        <v>50</v>
      </c>
      <c r="O61" s="80">
        <f>IF(ISNUMBER($D61),VLOOKUP($D61,'Factores generales'!$C$6:$Q$34,O$1),"")</f>
        <v>0</v>
      </c>
      <c r="P61" s="80">
        <f>IF(ISNUMBER($D61),VLOOKUP($D61,'Factores generales'!$C$6:$Q$34,P$1),"")</f>
        <v>0.87</v>
      </c>
    </row>
    <row r="62" spans="1:16" x14ac:dyDescent="0.25">
      <c r="A62" s="10" t="s">
        <v>32</v>
      </c>
      <c r="B62" s="114" t="s">
        <v>264</v>
      </c>
      <c r="D62" s="11"/>
      <c r="E62"/>
      <c r="F62"/>
      <c r="H62" s="80" t="str">
        <f>IF(ISNUMBER($D62),VLOOKUP($D62,'Factores generales'!$C$6:$Q$34,H$1),"")</f>
        <v/>
      </c>
      <c r="I62" s="80" t="str">
        <f>IF(ISNUMBER($D62),VLOOKUP($D62,'Factores generales'!$C$6:$Q$34,I$1),"")</f>
        <v/>
      </c>
      <c r="J62" s="80" t="str">
        <f>IF(ISNUMBER($D62),VLOOKUP($D62,'Factores generales'!$C$6:$Q$34,J$1),"")</f>
        <v/>
      </c>
      <c r="K62" s="80" t="str">
        <f>IF(ISNUMBER($D62),VLOOKUP($D62,'Factores generales'!$C$6:$Q$34,K$1),"")</f>
        <v/>
      </c>
      <c r="L62" s="113"/>
      <c r="M62" s="113"/>
      <c r="N62" s="113"/>
      <c r="O62" s="80" t="str">
        <f>IF(ISNUMBER($D62),VLOOKUP($D62,'Factores generales'!$C$6:$Q$34,O$1),"")</f>
        <v/>
      </c>
      <c r="P62" s="80" t="str">
        <f>IF(ISNUMBER($D62),VLOOKUP($D62,'Factores generales'!$C$6:$Q$34,P$1),"")</f>
        <v/>
      </c>
    </row>
    <row r="63" spans="1:16" x14ac:dyDescent="0.25">
      <c r="A63" s="10"/>
      <c r="B63" s="1"/>
      <c r="D63" s="11">
        <v>301</v>
      </c>
      <c r="E63" s="11" t="s">
        <v>98</v>
      </c>
      <c r="F63" t="s">
        <v>106</v>
      </c>
      <c r="H63" s="80">
        <f>IF(ISNUMBER($D63),VLOOKUP($D63,'Factores generales'!$C$6:$Q$34,H$1),"")</f>
        <v>34.512</v>
      </c>
      <c r="I63" s="80">
        <f>IF(ISNUMBER($D63),VLOOKUP($D63,'Factores generales'!$C$6:$Q$34,I$1),"")</f>
        <v>56.1</v>
      </c>
      <c r="J63" s="80">
        <f>IF(ISNUMBER($D63),VLOOKUP($D63,'Factores generales'!$C$6:$Q$34,J$1),"")</f>
        <v>1</v>
      </c>
      <c r="K63" s="80">
        <f>IF(ISNUMBER($D63),VLOOKUP($D63,'Factores generales'!$C$6:$Q$34,K$1),"")</f>
        <v>0.1</v>
      </c>
      <c r="L63" s="113">
        <v>150</v>
      </c>
      <c r="M63" s="113">
        <v>30</v>
      </c>
      <c r="N63" s="113">
        <v>5</v>
      </c>
      <c r="O63" s="80">
        <f>IF(ISNUMBER($D63),VLOOKUP($D63,'Factores generales'!$C$6:$Q$34,O$1),"")</f>
        <v>0</v>
      </c>
      <c r="P63" s="80">
        <f>IF(ISNUMBER($D63),VLOOKUP($D63,'Factores generales'!$C$6:$Q$34,P$1),"")</f>
        <v>0.995</v>
      </c>
    </row>
    <row r="64" spans="1:16" x14ac:dyDescent="0.25">
      <c r="A64" s="10"/>
      <c r="B64" s="1"/>
      <c r="D64" s="11">
        <v>206</v>
      </c>
      <c r="E64" s="11" t="s">
        <v>98</v>
      </c>
      <c r="F64" t="s">
        <v>249</v>
      </c>
      <c r="H64" s="80">
        <f>IF(ISNUMBER($D64),VLOOKUP($D64,'Factores generales'!$C$6:$Q$34,H$1),"")</f>
        <v>43</v>
      </c>
      <c r="I64" s="80">
        <f>IF(ISNUMBER($D64),VLOOKUP($D64,'Factores generales'!$C$6:$Q$34,I$1),"")</f>
        <v>74.099999999999994</v>
      </c>
      <c r="J64" s="80">
        <f>IF(ISNUMBER($D64),VLOOKUP($D64,'Factores generales'!$C$6:$Q$34,J$1),"")</f>
        <v>3</v>
      </c>
      <c r="K64" s="80">
        <f>IF(ISNUMBER($D64),VLOOKUP($D64,'Factores generales'!$C$6:$Q$34,K$1),"")</f>
        <v>0.6</v>
      </c>
      <c r="L64" s="113">
        <v>200</v>
      </c>
      <c r="M64" s="113">
        <v>10</v>
      </c>
      <c r="N64" s="113">
        <v>5</v>
      </c>
      <c r="O64" s="80">
        <f>IF(ISNUMBER($D64),VLOOKUP($D64,'Factores generales'!$C$6:$Q$34,O$1),"")</f>
        <v>36.279069767441861</v>
      </c>
      <c r="P64" s="80">
        <f>IF(ISNUMBER($D64),VLOOKUP($D64,'Factores generales'!$C$6:$Q$34,P$1),"")</f>
        <v>0.99</v>
      </c>
    </row>
    <row r="65" spans="1:16" x14ac:dyDescent="0.25">
      <c r="A65" s="10"/>
      <c r="B65" s="1"/>
      <c r="D65" s="11">
        <v>207</v>
      </c>
      <c r="E65" s="11" t="s">
        <v>98</v>
      </c>
      <c r="F65" t="s">
        <v>250</v>
      </c>
      <c r="H65" s="80">
        <f>IF(ISNUMBER($D65),VLOOKUP($D65,'Factores generales'!$C$6:$Q$34,H$1),"")</f>
        <v>40.4</v>
      </c>
      <c r="I65" s="80">
        <f>IF(ISNUMBER($D65),VLOOKUP($D65,'Factores generales'!$C$6:$Q$34,I$1),"")</f>
        <v>77.400000000000006</v>
      </c>
      <c r="J65" s="80">
        <f>IF(ISNUMBER($D65),VLOOKUP($D65,'Factores generales'!$C$6:$Q$34,J$1),"")</f>
        <v>3</v>
      </c>
      <c r="K65" s="80">
        <f>IF(ISNUMBER($D65),VLOOKUP($D65,'Factores generales'!$C$6:$Q$34,K$1),"")</f>
        <v>0.6</v>
      </c>
      <c r="L65" s="113">
        <v>200</v>
      </c>
      <c r="M65" s="113">
        <v>10</v>
      </c>
      <c r="N65" s="113">
        <v>5</v>
      </c>
      <c r="O65" s="80">
        <f>IF(ISNUMBER($D65),VLOOKUP($D65,'Factores generales'!$C$6:$Q$34,O$1),"")</f>
        <v>198.01980198019803</v>
      </c>
      <c r="P65" s="80">
        <f>IF(ISNUMBER($D65),VLOOKUP($D65,'Factores generales'!$C$6:$Q$34,P$1),"")</f>
        <v>0.99</v>
      </c>
    </row>
    <row r="66" spans="1:16" x14ac:dyDescent="0.25">
      <c r="A66" s="10"/>
      <c r="B66" s="1"/>
      <c r="D66" s="11">
        <v>403</v>
      </c>
      <c r="E66" s="11" t="s">
        <v>98</v>
      </c>
      <c r="F66" t="s">
        <v>257</v>
      </c>
      <c r="H66" s="80">
        <f>IF(ISNUMBER($D66),VLOOKUP($D66,'Factores generales'!$C$6:$Q$34,H$1),"")</f>
        <v>11.6</v>
      </c>
      <c r="I66" s="80">
        <f>IF(ISNUMBER($D66),VLOOKUP($D66,'Factores generales'!$C$6:$Q$34,I$1),"")</f>
        <v>100</v>
      </c>
      <c r="J66" s="80">
        <f>IF(ISNUMBER($D66),VLOOKUP($D66,'Factores generales'!$C$6:$Q$34,J$1),"")</f>
        <v>30</v>
      </c>
      <c r="K66" s="80">
        <f>IF(ISNUMBER($D66),VLOOKUP($D66,'Factores generales'!$C$6:$Q$34,K$1),"")</f>
        <v>4</v>
      </c>
      <c r="L66" s="113">
        <v>100</v>
      </c>
      <c r="M66" s="113">
        <v>4000</v>
      </c>
      <c r="N66" s="113">
        <v>50</v>
      </c>
      <c r="O66" s="80">
        <f>IF(ISNUMBER($D66),VLOOKUP($D66,'Factores generales'!$C$6:$Q$34,O$1),"")</f>
        <v>0</v>
      </c>
      <c r="P66" s="80">
        <f>IF(ISNUMBER($D66),VLOOKUP($D66,'Factores generales'!$C$6:$Q$34,P$1),"")</f>
        <v>0.87</v>
      </c>
    </row>
    <row r="67" spans="1:16" x14ac:dyDescent="0.25">
      <c r="A67" s="10"/>
      <c r="B67" s="1"/>
      <c r="D67" s="11">
        <v>401</v>
      </c>
      <c r="E67" s="11" t="s">
        <v>98</v>
      </c>
      <c r="F67" t="s">
        <v>258</v>
      </c>
      <c r="H67" s="80">
        <f>IF(ISNUMBER($D67),VLOOKUP($D67,'Factores generales'!$C$6:$Q$34,H$1),"")</f>
        <v>15.6</v>
      </c>
      <c r="I67" s="80">
        <f>IF(ISNUMBER($D67),VLOOKUP($D67,'Factores generales'!$C$6:$Q$34,I$1),"")</f>
        <v>112</v>
      </c>
      <c r="J67" s="80">
        <f>IF(ISNUMBER($D67),VLOOKUP($D67,'Factores generales'!$C$6:$Q$34,J$1),"")</f>
        <v>30</v>
      </c>
      <c r="K67" s="80">
        <f>IF(ISNUMBER($D67),VLOOKUP($D67,'Factores generales'!$C$6:$Q$34,K$1),"")</f>
        <v>4</v>
      </c>
      <c r="L67" s="113">
        <v>100</v>
      </c>
      <c r="M67" s="113">
        <v>2000</v>
      </c>
      <c r="N67" s="113">
        <v>50</v>
      </c>
      <c r="O67" s="80">
        <f>IF(ISNUMBER($D67),VLOOKUP($D67,'Factores generales'!$C$6:$Q$34,O$1),"")</f>
        <v>256.41025641025641</v>
      </c>
      <c r="P67" s="80">
        <f>IF(ISNUMBER($D67),VLOOKUP($D67,'Factores generales'!$C$6:$Q$34,P$1),"")</f>
        <v>0.87</v>
      </c>
    </row>
    <row r="68" spans="1:16" x14ac:dyDescent="0.25">
      <c r="D68" s="11">
        <v>406</v>
      </c>
      <c r="E68" s="11" t="s">
        <v>98</v>
      </c>
      <c r="F68" t="s">
        <v>256</v>
      </c>
      <c r="H68" s="80">
        <f>IF(ISNUMBER($D68),VLOOKUP($D68,'Factores generales'!$C$6:$Q$34,H$1),"")</f>
        <v>11.6</v>
      </c>
      <c r="I68" s="80">
        <f>IF(ISNUMBER($D68),VLOOKUP($D68,'Factores generales'!$C$6:$Q$34,I$1),"")</f>
        <v>100</v>
      </c>
      <c r="J68" s="80">
        <f>IF(ISNUMBER($D68),VLOOKUP($D68,'Factores generales'!$C$6:$Q$34,J$1),"")</f>
        <v>30</v>
      </c>
      <c r="K68" s="80">
        <f>IF(ISNUMBER($D68),VLOOKUP($D68,'Factores generales'!$C$6:$Q$34,K$1),"")</f>
        <v>4</v>
      </c>
      <c r="L68" s="113">
        <v>100</v>
      </c>
      <c r="M68" s="113">
        <v>4000</v>
      </c>
      <c r="N68" s="113">
        <v>50</v>
      </c>
      <c r="O68" s="80">
        <f>IF(ISNUMBER($D68),VLOOKUP($D68,'Factores generales'!$C$6:$Q$34,O$1),"")</f>
        <v>0</v>
      </c>
      <c r="P68" s="80">
        <f>IF(ISNUMBER($D68),VLOOKUP($D68,'Factores generales'!$C$6:$Q$34,P$1),"")</f>
        <v>0.87</v>
      </c>
    </row>
    <row r="69" spans="1:16" x14ac:dyDescent="0.25">
      <c r="A69" s="10" t="s">
        <v>33</v>
      </c>
      <c r="B69" s="1" t="s">
        <v>34</v>
      </c>
      <c r="D69" s="11"/>
      <c r="E69"/>
      <c r="F69"/>
      <c r="H69" s="80" t="str">
        <f>IF(ISNUMBER($D69),VLOOKUP($D69,'Factores generales'!$C$6:$Q$34,H$1),"")</f>
        <v/>
      </c>
      <c r="I69" s="80" t="str">
        <f>IF(ISNUMBER($D69),VLOOKUP($D69,'Factores generales'!$C$6:$Q$34,I$1),"")</f>
        <v/>
      </c>
      <c r="J69" s="80" t="str">
        <f>IF(ISNUMBER($D69),VLOOKUP($D69,'Factores generales'!$C$6:$Q$34,J$1),"")</f>
        <v/>
      </c>
      <c r="K69" s="80" t="str">
        <f>IF(ISNUMBER($D69),VLOOKUP($D69,'Factores generales'!$C$6:$Q$34,K$1),"")</f>
        <v/>
      </c>
      <c r="L69" s="113"/>
      <c r="M69" s="113"/>
      <c r="N69" s="113"/>
      <c r="O69" s="80" t="str">
        <f>IF(ISNUMBER($D69),VLOOKUP($D69,'Factores generales'!$C$6:$Q$34,O$1),"")</f>
        <v/>
      </c>
      <c r="P69" s="80" t="str">
        <f>IF(ISNUMBER($D69),VLOOKUP($D69,'Factores generales'!$C$6:$Q$34,P$1),"")</f>
        <v/>
      </c>
    </row>
    <row r="70" spans="1:16" x14ac:dyDescent="0.25">
      <c r="B70" s="1" t="s">
        <v>36</v>
      </c>
      <c r="D70" s="11"/>
      <c r="E70"/>
      <c r="F70"/>
      <c r="G70" s="1"/>
      <c r="H70" s="80" t="str">
        <f>IF(ISNUMBER($D70),VLOOKUP($D70,'Factores generales'!$C$6:$Q$34,H$1),"")</f>
        <v/>
      </c>
      <c r="I70" s="80" t="str">
        <f>IF(ISNUMBER($D70),VLOOKUP($D70,'Factores generales'!$C$6:$Q$34,I$1),"")</f>
        <v/>
      </c>
      <c r="J70" s="80" t="str">
        <f>IF(ISNUMBER($D70),VLOOKUP($D70,'Factores generales'!$C$6:$Q$34,J$1),"")</f>
        <v/>
      </c>
      <c r="K70" s="80" t="str">
        <f>IF(ISNUMBER($D70),VLOOKUP($D70,'Factores generales'!$C$6:$Q$34,K$1),"")</f>
        <v/>
      </c>
      <c r="L70" s="113"/>
      <c r="M70" s="113"/>
      <c r="N70" s="113"/>
      <c r="O70" s="80" t="str">
        <f>IF(ISNUMBER($D70),VLOOKUP($D70,'Factores generales'!$C$6:$Q$34,O$1),"")</f>
        <v/>
      </c>
      <c r="P70" s="80" t="str">
        <f>IF(ISNUMBER($D70),VLOOKUP($D70,'Factores generales'!$C$6:$Q$34,P$1),"")</f>
        <v/>
      </c>
    </row>
    <row r="71" spans="1:16" x14ac:dyDescent="0.25">
      <c r="D71" s="11">
        <v>301</v>
      </c>
      <c r="E71" s="11" t="s">
        <v>98</v>
      </c>
      <c r="F71" t="s">
        <v>106</v>
      </c>
      <c r="H71" s="80">
        <f>IF(ISNUMBER($D71),VLOOKUP($D71,'Factores generales'!$C$6:$Q$34,H$1),"")</f>
        <v>34.512</v>
      </c>
      <c r="I71" s="80">
        <f>IF(ISNUMBER($D71),VLOOKUP($D71,'Factores generales'!$C$6:$Q$34,I$1),"")</f>
        <v>56.1</v>
      </c>
      <c r="J71" s="80">
        <f>IF(ISNUMBER($D71),VLOOKUP($D71,'Factores generales'!$C$6:$Q$34,J$1),"")</f>
        <v>1</v>
      </c>
      <c r="K71" s="80">
        <f>IF(ISNUMBER($D71),VLOOKUP($D71,'Factores generales'!$C$6:$Q$34,K$1),"")</f>
        <v>0.1</v>
      </c>
      <c r="L71" s="113">
        <v>150</v>
      </c>
      <c r="M71" s="113">
        <v>30</v>
      </c>
      <c r="N71" s="113">
        <v>5</v>
      </c>
      <c r="O71" s="80">
        <f>IF(ISNUMBER($D71),VLOOKUP($D71,'Factores generales'!$C$6:$Q$34,O$1),"")</f>
        <v>0</v>
      </c>
      <c r="P71" s="80">
        <f>IF(ISNUMBER($D71),VLOOKUP($D71,'Factores generales'!$C$6:$Q$34,P$1),"")</f>
        <v>0.995</v>
      </c>
    </row>
    <row r="72" spans="1:16" x14ac:dyDescent="0.25">
      <c r="D72" s="11">
        <v>206</v>
      </c>
      <c r="E72" s="11" t="s">
        <v>98</v>
      </c>
      <c r="F72" s="11" t="s">
        <v>249</v>
      </c>
      <c r="H72" s="80">
        <f>IF(ISNUMBER($D72),VLOOKUP($D72,'Factores generales'!$C$6:$Q$34,H$1),"")</f>
        <v>43</v>
      </c>
      <c r="I72" s="80">
        <f>IF(ISNUMBER($D72),VLOOKUP($D72,'Factores generales'!$C$6:$Q$34,I$1),"")</f>
        <v>74.099999999999994</v>
      </c>
      <c r="J72" s="80">
        <f>IF(ISNUMBER($D72),VLOOKUP($D72,'Factores generales'!$C$6:$Q$34,J$1),"")</f>
        <v>3</v>
      </c>
      <c r="K72" s="80">
        <f>IF(ISNUMBER($D72),VLOOKUP($D72,'Factores generales'!$C$6:$Q$34,K$1),"")</f>
        <v>0.6</v>
      </c>
      <c r="L72" s="113">
        <v>200</v>
      </c>
      <c r="M72" s="113">
        <v>10</v>
      </c>
      <c r="N72" s="113">
        <v>5</v>
      </c>
      <c r="O72" s="80">
        <f>IF(ISNUMBER($D72),VLOOKUP($D72,'Factores generales'!$C$6:$Q$34,O$1),"")</f>
        <v>36.279069767441861</v>
      </c>
      <c r="P72" s="80">
        <f>IF(ISNUMBER($D72),VLOOKUP($D72,'Factores generales'!$C$6:$Q$34,P$1),"")</f>
        <v>0.99</v>
      </c>
    </row>
    <row r="73" spans="1:16" x14ac:dyDescent="0.25">
      <c r="D73" s="11">
        <v>106</v>
      </c>
      <c r="E73" s="11" t="s">
        <v>98</v>
      </c>
      <c r="F73" t="s">
        <v>253</v>
      </c>
      <c r="H73" s="80">
        <f>IF(ISNUMBER($D73),VLOOKUP($D73,'Factores generales'!$C$6:$Q$34,H$1),"")</f>
        <v>32.5</v>
      </c>
      <c r="I73" s="80">
        <f>IF(ISNUMBER($D73),VLOOKUP($D73,'Factores generales'!$C$6:$Q$34,I$1),"")</f>
        <v>97.5</v>
      </c>
      <c r="J73" s="80">
        <f>IF(ISNUMBER($D73),VLOOKUP($D73,'Factores generales'!$C$6:$Q$34,J$1),"")</f>
        <v>1</v>
      </c>
      <c r="K73" s="80">
        <f>IF(ISNUMBER($D73),VLOOKUP($D73,'Factores generales'!$C$6:$Q$34,K$1),"")</f>
        <v>1.5000000000000002</v>
      </c>
      <c r="L73" s="118">
        <f>L42</f>
        <v>300</v>
      </c>
      <c r="M73" s="118">
        <f t="shared" ref="M73:N73" si="4">M42</f>
        <v>150</v>
      </c>
      <c r="N73" s="118">
        <f t="shared" si="4"/>
        <v>20</v>
      </c>
      <c r="O73" s="80">
        <f>IF(ISNUMBER($D73),VLOOKUP($D73,'Factores generales'!$C$6:$Q$34,O$1),"")</f>
        <v>0</v>
      </c>
      <c r="P73" s="80">
        <f>IF(ISNUMBER($D73),VLOOKUP($D73,'Factores generales'!$C$6:$Q$34,P$1),"")</f>
        <v>0.98</v>
      </c>
    </row>
    <row r="74" spans="1:16" x14ac:dyDescent="0.25">
      <c r="D74" s="11">
        <v>401</v>
      </c>
      <c r="E74" s="11" t="s">
        <v>98</v>
      </c>
      <c r="F74" s="11" t="s">
        <v>258</v>
      </c>
      <c r="H74" s="80">
        <f>IF(ISNUMBER($D74),VLOOKUP($D74,'Factores generales'!$C$6:$Q$34,H$1),"")</f>
        <v>15.6</v>
      </c>
      <c r="I74" s="80">
        <f>IF(ISNUMBER($D74),VLOOKUP($D74,'Factores generales'!$C$6:$Q$34,I$1),"")</f>
        <v>112</v>
      </c>
      <c r="J74" s="80">
        <f>IF(ISNUMBER($D74),VLOOKUP($D74,'Factores generales'!$C$6:$Q$34,J$1),"")</f>
        <v>30</v>
      </c>
      <c r="K74" s="80">
        <f>IF(ISNUMBER($D74),VLOOKUP($D74,'Factores generales'!$C$6:$Q$34,K$1),"")</f>
        <v>4</v>
      </c>
      <c r="L74" s="113">
        <v>100</v>
      </c>
      <c r="M74" s="113">
        <v>2000</v>
      </c>
      <c r="N74" s="113">
        <v>50</v>
      </c>
      <c r="O74" s="80">
        <f>IF(ISNUMBER($D74),VLOOKUP($D74,'Factores generales'!$C$6:$Q$34,O$1),"")</f>
        <v>256.41025641025641</v>
      </c>
      <c r="P74" s="80">
        <f>IF(ISNUMBER($D74),VLOOKUP($D74,'Factores generales'!$C$6:$Q$34,P$1),"")</f>
        <v>0.87</v>
      </c>
    </row>
    <row r="75" spans="1:16" x14ac:dyDescent="0.25">
      <c r="D75" s="11">
        <v>103</v>
      </c>
      <c r="E75" s="27" t="s">
        <v>98</v>
      </c>
      <c r="F75" s="11" t="s">
        <v>9</v>
      </c>
      <c r="H75" s="80">
        <f>IF(ISNUMBER($D75),VLOOKUP($D75,'Factores generales'!$C$6:$Q$34,H$1),"")</f>
        <v>25.8</v>
      </c>
      <c r="I75" s="80">
        <f>IF(ISNUMBER($D75),VLOOKUP($D75,'Factores generales'!$C$6:$Q$34,I$1),"")</f>
        <v>94.6</v>
      </c>
      <c r="J75" s="80">
        <f>IF(ISNUMBER($D75),VLOOKUP($D75,'Factores generales'!$C$6:$Q$34,J$1),"")</f>
        <v>1</v>
      </c>
      <c r="K75" s="80">
        <f>IF(ISNUMBER($D75),VLOOKUP($D75,'Factores generales'!$C$6:$Q$34,K$1),"")</f>
        <v>1.5000000000000002</v>
      </c>
      <c r="L75" s="113">
        <v>300</v>
      </c>
      <c r="M75" s="113">
        <v>150</v>
      </c>
      <c r="N75" s="113">
        <v>20</v>
      </c>
      <c r="O75" s="80">
        <f>IF(ISNUMBER($D75),VLOOKUP($D75,'Factores generales'!$C$6:$Q$34,O$1),"")</f>
        <v>957.36434108527135</v>
      </c>
      <c r="P75" s="80">
        <f>IF(ISNUMBER($D75),VLOOKUP($D75,'Factores generales'!$C$6:$Q$34,P$1),"")</f>
        <v>0.98</v>
      </c>
    </row>
    <row r="76" spans="1:16" x14ac:dyDescent="0.25">
      <c r="B76" s="1" t="s">
        <v>35</v>
      </c>
      <c r="D76" s="11"/>
      <c r="E76"/>
      <c r="F76"/>
      <c r="G76" s="1"/>
      <c r="H76" s="80" t="str">
        <f>IF(ISNUMBER($D76),VLOOKUP($D76,'Factores generales'!$C$6:$Q$34,H$1),"")</f>
        <v/>
      </c>
      <c r="I76" s="80" t="str">
        <f>IF(ISNUMBER($D76),VLOOKUP($D76,'Factores generales'!$C$6:$Q$34,I$1),"")</f>
        <v/>
      </c>
      <c r="J76" s="80" t="str">
        <f>IF(ISNUMBER($D76),VLOOKUP($D76,'Factores generales'!$C$6:$Q$34,J$1),"")</f>
        <v/>
      </c>
      <c r="K76" s="80" t="str">
        <f>IF(ISNUMBER($D76),VLOOKUP($D76,'Factores generales'!$C$6:$Q$34,K$1),"")</f>
        <v/>
      </c>
      <c r="L76" s="113"/>
      <c r="M76" s="113"/>
      <c r="N76" s="113"/>
      <c r="O76" s="80" t="str">
        <f>IF(ISNUMBER($D76),VLOOKUP($D76,'Factores generales'!$C$6:$Q$34,O$1),"")</f>
        <v/>
      </c>
      <c r="P76" s="80" t="str">
        <f>IF(ISNUMBER($D76),VLOOKUP($D76,'Factores generales'!$C$6:$Q$34,P$1),"")</f>
        <v/>
      </c>
    </row>
    <row r="77" spans="1:16" x14ac:dyDescent="0.25">
      <c r="D77" s="11">
        <v>301</v>
      </c>
      <c r="E77" s="11" t="s">
        <v>98</v>
      </c>
      <c r="F77" t="s">
        <v>106</v>
      </c>
      <c r="H77" s="80">
        <f>IF(ISNUMBER($D77),VLOOKUP($D77,'Factores generales'!$C$6:$Q$34,H$1),"")</f>
        <v>34.512</v>
      </c>
      <c r="I77" s="80">
        <f>IF(ISNUMBER($D77),VLOOKUP($D77,'Factores generales'!$C$6:$Q$34,I$1),"")</f>
        <v>56.1</v>
      </c>
      <c r="J77" s="80">
        <f>IF(ISNUMBER($D77),VLOOKUP($D77,'Factores generales'!$C$6:$Q$34,J$1),"")</f>
        <v>1</v>
      </c>
      <c r="K77" s="80">
        <f>IF(ISNUMBER($D77),VLOOKUP($D77,'Factores generales'!$C$6:$Q$34,K$1),"")</f>
        <v>0.1</v>
      </c>
      <c r="L77" s="113">
        <v>150</v>
      </c>
      <c r="M77" s="113">
        <v>30</v>
      </c>
      <c r="N77" s="113">
        <v>5</v>
      </c>
      <c r="O77" s="80">
        <f>IF(ISNUMBER($D77),VLOOKUP($D77,'Factores generales'!$C$6:$Q$34,O$1),"")</f>
        <v>0</v>
      </c>
      <c r="P77" s="80">
        <f>IF(ISNUMBER($D77),VLOOKUP($D77,'Factores generales'!$C$6:$Q$34,P$1),"")</f>
        <v>0.995</v>
      </c>
    </row>
    <row r="78" spans="1:16" x14ac:dyDescent="0.25">
      <c r="D78" s="11">
        <v>206</v>
      </c>
      <c r="E78" s="11" t="s">
        <v>98</v>
      </c>
      <c r="F78" s="11" t="s">
        <v>249</v>
      </c>
      <c r="H78" s="80">
        <f>IF(ISNUMBER($D78),VLOOKUP($D78,'Factores generales'!$C$6:$Q$34,H$1),"")</f>
        <v>43</v>
      </c>
      <c r="I78" s="80">
        <f>IF(ISNUMBER($D78),VLOOKUP($D78,'Factores generales'!$C$6:$Q$34,I$1),"")</f>
        <v>74.099999999999994</v>
      </c>
      <c r="J78" s="80">
        <f>IF(ISNUMBER($D78),VLOOKUP($D78,'Factores generales'!$C$6:$Q$34,J$1),"")</f>
        <v>3</v>
      </c>
      <c r="K78" s="80">
        <f>IF(ISNUMBER($D78),VLOOKUP($D78,'Factores generales'!$C$6:$Q$34,K$1),"")</f>
        <v>0.6</v>
      </c>
      <c r="L78" s="113">
        <v>200</v>
      </c>
      <c r="M78" s="113">
        <v>10</v>
      </c>
      <c r="N78" s="113">
        <v>5</v>
      </c>
      <c r="O78" s="80">
        <f>IF(ISNUMBER($D78),VLOOKUP($D78,'Factores generales'!$C$6:$Q$34,O$1),"")</f>
        <v>36.279069767441861</v>
      </c>
      <c r="P78" s="80">
        <f>IF(ISNUMBER($D78),VLOOKUP($D78,'Factores generales'!$C$6:$Q$34,P$1),"")</f>
        <v>0.99</v>
      </c>
    </row>
    <row r="79" spans="1:16" x14ac:dyDescent="0.25">
      <c r="B79" s="1" t="s">
        <v>37</v>
      </c>
      <c r="D79" s="11"/>
      <c r="E79"/>
      <c r="F79"/>
      <c r="G79" s="1"/>
      <c r="H79" s="80" t="str">
        <f>IF(ISNUMBER($D79),VLOOKUP($D79,'Factores generales'!$C$6:$Q$34,H$1),"")</f>
        <v/>
      </c>
      <c r="I79" s="80" t="str">
        <f>IF(ISNUMBER($D79),VLOOKUP($D79,'Factores generales'!$C$6:$Q$34,I$1),"")</f>
        <v/>
      </c>
      <c r="J79" s="80" t="str">
        <f>IF(ISNUMBER($D79),VLOOKUP($D79,'Factores generales'!$C$6:$Q$34,J$1),"")</f>
        <v/>
      </c>
      <c r="K79" s="80" t="str">
        <f>IF(ISNUMBER($D79),VLOOKUP($D79,'Factores generales'!$C$6:$Q$34,K$1),"")</f>
        <v/>
      </c>
      <c r="L79" s="113"/>
      <c r="M79" s="113"/>
      <c r="N79" s="113"/>
      <c r="O79" s="80" t="str">
        <f>IF(ISNUMBER($D79),VLOOKUP($D79,'Factores generales'!$C$6:$Q$34,O$1),"")</f>
        <v/>
      </c>
      <c r="P79" s="80" t="str">
        <f>IF(ISNUMBER($D79),VLOOKUP($D79,'Factores generales'!$C$6:$Q$34,P$1),"")</f>
        <v/>
      </c>
    </row>
    <row r="80" spans="1:16" x14ac:dyDescent="0.25">
      <c r="D80" s="11">
        <v>301</v>
      </c>
      <c r="E80" s="11" t="s">
        <v>98</v>
      </c>
      <c r="F80" t="s">
        <v>106</v>
      </c>
      <c r="H80" s="80">
        <f>IF(ISNUMBER($D80),VLOOKUP($D80,'Factores generales'!$C$6:$Q$34,H$1),"")</f>
        <v>34.512</v>
      </c>
      <c r="I80" s="80">
        <f>IF(ISNUMBER($D80),VLOOKUP($D80,'Factores generales'!$C$6:$Q$34,I$1),"")</f>
        <v>56.1</v>
      </c>
      <c r="J80" s="80">
        <f>IF(ISNUMBER($D80),VLOOKUP($D80,'Factores generales'!$C$6:$Q$34,J$1),"")</f>
        <v>1</v>
      </c>
      <c r="K80" s="80">
        <f>IF(ISNUMBER($D80),VLOOKUP($D80,'Factores generales'!$C$6:$Q$34,K$1),"")</f>
        <v>0.1</v>
      </c>
      <c r="L80" s="113">
        <v>150</v>
      </c>
      <c r="M80" s="113">
        <v>30</v>
      </c>
      <c r="N80" s="113">
        <v>5</v>
      </c>
      <c r="O80" s="80">
        <f>IF(ISNUMBER($D80),VLOOKUP($D80,'Factores generales'!$C$6:$Q$34,O$1),"")</f>
        <v>0</v>
      </c>
      <c r="P80" s="80">
        <f>IF(ISNUMBER($D80),VLOOKUP($D80,'Factores generales'!$C$6:$Q$34,P$1),"")</f>
        <v>0.995</v>
      </c>
    </row>
    <row r="81" spans="2:16" x14ac:dyDescent="0.25">
      <c r="D81" s="11">
        <v>206</v>
      </c>
      <c r="E81" s="11" t="s">
        <v>98</v>
      </c>
      <c r="F81" s="11" t="s">
        <v>249</v>
      </c>
      <c r="H81" s="80">
        <f>IF(ISNUMBER($D81),VLOOKUP($D81,'Factores generales'!$C$6:$Q$34,H$1),"")</f>
        <v>43</v>
      </c>
      <c r="I81" s="80">
        <f>IF(ISNUMBER($D81),VLOOKUP($D81,'Factores generales'!$C$6:$Q$34,I$1),"")</f>
        <v>74.099999999999994</v>
      </c>
      <c r="J81" s="80">
        <f>IF(ISNUMBER($D81),VLOOKUP($D81,'Factores generales'!$C$6:$Q$34,J$1),"")</f>
        <v>3</v>
      </c>
      <c r="K81" s="80">
        <f>IF(ISNUMBER($D81),VLOOKUP($D81,'Factores generales'!$C$6:$Q$34,K$1),"")</f>
        <v>0.6</v>
      </c>
      <c r="L81" s="113">
        <v>200</v>
      </c>
      <c r="M81" s="113">
        <v>10</v>
      </c>
      <c r="N81" s="113">
        <v>5</v>
      </c>
      <c r="O81" s="80">
        <f>IF(ISNUMBER($D81),VLOOKUP($D81,'Factores generales'!$C$6:$Q$34,O$1),"")</f>
        <v>36.279069767441861</v>
      </c>
      <c r="P81" s="80">
        <f>IF(ISNUMBER($D81),VLOOKUP($D81,'Factores generales'!$C$6:$Q$34,P$1),"")</f>
        <v>0.99</v>
      </c>
    </row>
    <row r="82" spans="2:16" x14ac:dyDescent="0.25">
      <c r="D82" s="11">
        <v>207</v>
      </c>
      <c r="E82" s="11" t="s">
        <v>98</v>
      </c>
      <c r="F82" t="s">
        <v>12</v>
      </c>
      <c r="H82" s="80">
        <f>IF(ISNUMBER($D82),VLOOKUP($D82,'Factores generales'!$C$6:$Q$34,H$1),"")</f>
        <v>40.4</v>
      </c>
      <c r="I82" s="80">
        <f>IF(ISNUMBER($D82),VLOOKUP($D82,'Factores generales'!$C$6:$Q$34,I$1),"")</f>
        <v>77.400000000000006</v>
      </c>
      <c r="J82" s="80">
        <f>IF(ISNUMBER($D82),VLOOKUP($D82,'Factores generales'!$C$6:$Q$34,J$1),"")</f>
        <v>3</v>
      </c>
      <c r="K82" s="80">
        <f>IF(ISNUMBER($D82),VLOOKUP($D82,'Factores generales'!$C$6:$Q$34,K$1),"")</f>
        <v>0.6</v>
      </c>
      <c r="L82" s="113">
        <v>200</v>
      </c>
      <c r="M82" s="113">
        <v>10</v>
      </c>
      <c r="N82" s="113">
        <v>5</v>
      </c>
      <c r="O82" s="80">
        <f>IF(ISNUMBER($D82),VLOOKUP($D82,'Factores generales'!$C$6:$Q$34,O$1),"")</f>
        <v>198.01980198019803</v>
      </c>
      <c r="P82" s="80">
        <f>IF(ISNUMBER($D82),VLOOKUP($D82,'Factores generales'!$C$6:$Q$34,P$1),"")</f>
        <v>0.99</v>
      </c>
    </row>
    <row r="83" spans="2:16" x14ac:dyDescent="0.25">
      <c r="D83" s="11">
        <v>401</v>
      </c>
      <c r="E83" s="11" t="s">
        <v>98</v>
      </c>
      <c r="F83" s="11" t="s">
        <v>258</v>
      </c>
      <c r="H83" s="80">
        <f>IF(ISNUMBER($D83),VLOOKUP($D83,'Factores generales'!$C$6:$Q$34,H$1),"")</f>
        <v>15.6</v>
      </c>
      <c r="I83" s="80">
        <f>IF(ISNUMBER($D83),VLOOKUP($D83,'Factores generales'!$C$6:$Q$34,I$1),"")</f>
        <v>112</v>
      </c>
      <c r="J83" s="80">
        <f>IF(ISNUMBER($D83),VLOOKUP($D83,'Factores generales'!$C$6:$Q$34,J$1),"")</f>
        <v>30</v>
      </c>
      <c r="K83" s="80">
        <f>IF(ISNUMBER($D83),VLOOKUP($D83,'Factores generales'!$C$6:$Q$34,K$1),"")</f>
        <v>4</v>
      </c>
      <c r="L83" s="113">
        <v>100</v>
      </c>
      <c r="M83" s="113">
        <v>2000</v>
      </c>
      <c r="N83" s="113">
        <v>50</v>
      </c>
      <c r="O83" s="80">
        <f>IF(ISNUMBER($D83),VLOOKUP($D83,'Factores generales'!$C$6:$Q$34,O$1),"")</f>
        <v>256.41025641025641</v>
      </c>
      <c r="P83" s="80">
        <f>IF(ISNUMBER($D83),VLOOKUP($D83,'Factores generales'!$C$6:$Q$34,P$1),"")</f>
        <v>0.87</v>
      </c>
    </row>
    <row r="84" spans="2:16" x14ac:dyDescent="0.25">
      <c r="D84" s="11">
        <v>406</v>
      </c>
      <c r="E84" s="11" t="s">
        <v>98</v>
      </c>
      <c r="F84" s="11" t="s">
        <v>256</v>
      </c>
      <c r="H84" s="80">
        <f>IF(ISNUMBER($D84),VLOOKUP($D84,'Factores generales'!$C$6:$Q$34,H$1),"")</f>
        <v>11.6</v>
      </c>
      <c r="I84" s="80">
        <f>IF(ISNUMBER($D84),VLOOKUP($D84,'Factores generales'!$C$6:$Q$34,I$1),"")</f>
        <v>100</v>
      </c>
      <c r="J84" s="80">
        <f>IF(ISNUMBER($D84),VLOOKUP($D84,'Factores generales'!$C$6:$Q$34,J$1),"")</f>
        <v>30</v>
      </c>
      <c r="K84" s="80">
        <f>IF(ISNUMBER($D84),VLOOKUP($D84,'Factores generales'!$C$6:$Q$34,K$1),"")</f>
        <v>4</v>
      </c>
      <c r="L84" s="113">
        <v>100</v>
      </c>
      <c r="M84" s="113">
        <v>4000</v>
      </c>
      <c r="N84" s="113">
        <v>50</v>
      </c>
      <c r="O84" s="80">
        <f>IF(ISNUMBER($D84),VLOOKUP($D84,'Factores generales'!$C$6:$Q$34,O$1),"")</f>
        <v>0</v>
      </c>
      <c r="P84" s="80">
        <f>IF(ISNUMBER($D84),VLOOKUP($D84,'Factores generales'!$C$6:$Q$34,P$1),"")</f>
        <v>0.87</v>
      </c>
    </row>
    <row r="85" spans="2:16" x14ac:dyDescent="0.25">
      <c r="B85" s="1" t="s">
        <v>38</v>
      </c>
      <c r="D85" s="11"/>
      <c r="E85"/>
      <c r="F85"/>
      <c r="G85" s="1"/>
      <c r="H85" s="80" t="str">
        <f>IF(ISNUMBER($D85),VLOOKUP($D85,'Factores generales'!$C$6:$Q$34,H$1),"")</f>
        <v/>
      </c>
      <c r="I85" s="80" t="str">
        <f>IF(ISNUMBER($D85),VLOOKUP($D85,'Factores generales'!$C$6:$Q$34,I$1),"")</f>
        <v/>
      </c>
      <c r="J85" s="80" t="str">
        <f>IF(ISNUMBER($D85),VLOOKUP($D85,'Factores generales'!$C$6:$Q$34,J$1),"")</f>
        <v/>
      </c>
      <c r="K85" s="80" t="str">
        <f>IF(ISNUMBER($D85),VLOOKUP($D85,'Factores generales'!$C$6:$Q$34,K$1),"")</f>
        <v/>
      </c>
      <c r="L85" s="113"/>
      <c r="M85" s="113"/>
      <c r="N85" s="113"/>
      <c r="O85" s="80" t="str">
        <f>IF(ISNUMBER($D85),VLOOKUP($D85,'Factores generales'!$C$6:$Q$34,O$1),"")</f>
        <v/>
      </c>
      <c r="P85" s="80" t="str">
        <f>IF(ISNUMBER($D85),VLOOKUP($D85,'Factores generales'!$C$6:$Q$34,P$1),"")</f>
        <v/>
      </c>
    </row>
    <row r="86" spans="2:16" x14ac:dyDescent="0.25">
      <c r="D86" s="11">
        <v>301</v>
      </c>
      <c r="E86" s="11" t="s">
        <v>98</v>
      </c>
      <c r="F86" t="s">
        <v>106</v>
      </c>
      <c r="H86" s="80">
        <f>IF(ISNUMBER($D86),VLOOKUP($D86,'Factores generales'!$C$6:$Q$34,H$1),"")</f>
        <v>34.512</v>
      </c>
      <c r="I86" s="80">
        <f>IF(ISNUMBER($D86),VLOOKUP($D86,'Factores generales'!$C$6:$Q$34,I$1),"")</f>
        <v>56.1</v>
      </c>
      <c r="J86" s="80">
        <f>IF(ISNUMBER($D86),VLOOKUP($D86,'Factores generales'!$C$6:$Q$34,J$1),"")</f>
        <v>1</v>
      </c>
      <c r="K86" s="80">
        <f>IF(ISNUMBER($D86),VLOOKUP($D86,'Factores generales'!$C$6:$Q$34,K$1),"")</f>
        <v>0.1</v>
      </c>
      <c r="L86" s="113">
        <v>150</v>
      </c>
      <c r="M86" s="113">
        <v>30</v>
      </c>
      <c r="N86" s="113">
        <v>5</v>
      </c>
      <c r="O86" s="80">
        <f>IF(ISNUMBER($D86),VLOOKUP($D86,'Factores generales'!$C$6:$Q$34,O$1),"")</f>
        <v>0</v>
      </c>
      <c r="P86" s="80">
        <f>IF(ISNUMBER($D86),VLOOKUP($D86,'Factores generales'!$C$6:$Q$34,P$1),"")</f>
        <v>0.995</v>
      </c>
    </row>
    <row r="87" spans="2:16" x14ac:dyDescent="0.25">
      <c r="D87" s="11">
        <v>206</v>
      </c>
      <c r="E87" s="11" t="s">
        <v>98</v>
      </c>
      <c r="F87" s="11" t="s">
        <v>249</v>
      </c>
      <c r="H87" s="80">
        <f>IF(ISNUMBER($D87),VLOOKUP($D87,'Factores generales'!$C$6:$Q$34,H$1),"")</f>
        <v>43</v>
      </c>
      <c r="I87" s="80">
        <f>IF(ISNUMBER($D87),VLOOKUP($D87,'Factores generales'!$C$6:$Q$34,I$1),"")</f>
        <v>74.099999999999994</v>
      </c>
      <c r="J87" s="80">
        <f>IF(ISNUMBER($D87),VLOOKUP($D87,'Factores generales'!$C$6:$Q$34,J$1),"")</f>
        <v>3</v>
      </c>
      <c r="K87" s="80">
        <f>IF(ISNUMBER($D87),VLOOKUP($D87,'Factores generales'!$C$6:$Q$34,K$1),"")</f>
        <v>0.6</v>
      </c>
      <c r="L87" s="113">
        <v>200</v>
      </c>
      <c r="M87" s="113">
        <v>10</v>
      </c>
      <c r="N87" s="113">
        <v>5</v>
      </c>
      <c r="O87" s="80">
        <f>IF(ISNUMBER($D87),VLOOKUP($D87,'Factores generales'!$C$6:$Q$34,O$1),"")</f>
        <v>36.279069767441861</v>
      </c>
      <c r="P87" s="80">
        <f>IF(ISNUMBER($D87),VLOOKUP($D87,'Factores generales'!$C$6:$Q$34,P$1),"")</f>
        <v>0.99</v>
      </c>
    </row>
    <row r="88" spans="2:16" x14ac:dyDescent="0.25">
      <c r="D88" s="11">
        <v>406</v>
      </c>
      <c r="E88" s="11" t="s">
        <v>98</v>
      </c>
      <c r="F88" s="11" t="s">
        <v>256</v>
      </c>
      <c r="H88" s="80">
        <f>IF(ISNUMBER($D88),VLOOKUP($D88,'Factores generales'!$C$6:$Q$34,H$1),"")</f>
        <v>11.6</v>
      </c>
      <c r="I88" s="80">
        <f>IF(ISNUMBER($D88),VLOOKUP($D88,'Factores generales'!$C$6:$Q$34,I$1),"")</f>
        <v>100</v>
      </c>
      <c r="J88" s="80">
        <f>IF(ISNUMBER($D88),VLOOKUP($D88,'Factores generales'!$C$6:$Q$34,J$1),"")</f>
        <v>30</v>
      </c>
      <c r="K88" s="80">
        <f>IF(ISNUMBER($D88),VLOOKUP($D88,'Factores generales'!$C$6:$Q$34,K$1),"")</f>
        <v>4</v>
      </c>
      <c r="L88" s="113">
        <v>100</v>
      </c>
      <c r="M88" s="113">
        <v>4000</v>
      </c>
      <c r="N88" s="113">
        <v>50</v>
      </c>
      <c r="O88" s="80">
        <f>IF(ISNUMBER($D88),VLOOKUP($D88,'Factores generales'!$C$6:$Q$34,O$1),"")</f>
        <v>0</v>
      </c>
      <c r="P88" s="80">
        <f>IF(ISNUMBER($D88),VLOOKUP($D88,'Factores generales'!$C$6:$Q$34,P$1),"")</f>
        <v>0.87</v>
      </c>
    </row>
    <row r="89" spans="2:16" x14ac:dyDescent="0.25">
      <c r="B89" s="1" t="s">
        <v>39</v>
      </c>
      <c r="D89" s="11"/>
      <c r="E89"/>
      <c r="F89"/>
      <c r="G89" s="1"/>
      <c r="H89" s="80" t="str">
        <f>IF(ISNUMBER($D89),VLOOKUP($D89,'Factores generales'!$C$6:$Q$34,H$1),"")</f>
        <v/>
      </c>
      <c r="I89" s="80" t="str">
        <f>IF(ISNUMBER($D89),VLOOKUP($D89,'Factores generales'!$C$6:$Q$34,I$1),"")</f>
        <v/>
      </c>
      <c r="J89" s="80" t="str">
        <f>IF(ISNUMBER($D89),VLOOKUP($D89,'Factores generales'!$C$6:$Q$34,J$1),"")</f>
        <v/>
      </c>
      <c r="K89" s="80" t="str">
        <f>IF(ISNUMBER($D89),VLOOKUP($D89,'Factores generales'!$C$6:$Q$34,K$1),"")</f>
        <v/>
      </c>
      <c r="L89" s="113"/>
      <c r="M89" s="113"/>
      <c r="N89" s="113"/>
      <c r="O89" s="80" t="str">
        <f>IF(ISNUMBER($D89),VLOOKUP($D89,'Factores generales'!$C$6:$Q$34,O$1),"")</f>
        <v/>
      </c>
      <c r="P89" s="80" t="str">
        <f>IF(ISNUMBER($D89),VLOOKUP($D89,'Factores generales'!$C$6:$Q$34,P$1),"")</f>
        <v/>
      </c>
    </row>
    <row r="90" spans="2:16" x14ac:dyDescent="0.25">
      <c r="D90" s="11">
        <v>301</v>
      </c>
      <c r="E90" s="11" t="s">
        <v>98</v>
      </c>
      <c r="F90" t="s">
        <v>106</v>
      </c>
      <c r="H90" s="80">
        <f>IF(ISNUMBER($D90),VLOOKUP($D90,'Factores generales'!$C$6:$Q$34,H$1),"")</f>
        <v>34.512</v>
      </c>
      <c r="I90" s="80">
        <f>IF(ISNUMBER($D90),VLOOKUP($D90,'Factores generales'!$C$6:$Q$34,I$1),"")</f>
        <v>56.1</v>
      </c>
      <c r="J90" s="80">
        <f>IF(ISNUMBER($D90),VLOOKUP($D90,'Factores generales'!$C$6:$Q$34,J$1),"")</f>
        <v>1</v>
      </c>
      <c r="K90" s="80">
        <f>IF(ISNUMBER($D90),VLOOKUP($D90,'Factores generales'!$C$6:$Q$34,K$1),"")</f>
        <v>0.1</v>
      </c>
      <c r="L90" s="113">
        <v>150</v>
      </c>
      <c r="M90" s="113">
        <v>30</v>
      </c>
      <c r="N90" s="113">
        <v>5</v>
      </c>
      <c r="O90" s="80">
        <f>IF(ISNUMBER($D90),VLOOKUP($D90,'Factores generales'!$C$6:$Q$34,O$1),"")</f>
        <v>0</v>
      </c>
      <c r="P90" s="80">
        <f>IF(ISNUMBER($D90),VLOOKUP($D90,'Factores generales'!$C$6:$Q$34,P$1),"")</f>
        <v>0.995</v>
      </c>
    </row>
    <row r="91" spans="2:16" x14ac:dyDescent="0.25">
      <c r="D91" s="11">
        <v>206</v>
      </c>
      <c r="E91" s="11" t="s">
        <v>98</v>
      </c>
      <c r="F91" s="11" t="s">
        <v>249</v>
      </c>
      <c r="H91" s="80">
        <f>IF(ISNUMBER($D91),VLOOKUP($D91,'Factores generales'!$C$6:$Q$34,H$1),"")</f>
        <v>43</v>
      </c>
      <c r="I91" s="80">
        <f>IF(ISNUMBER($D91),VLOOKUP($D91,'Factores generales'!$C$6:$Q$34,I$1),"")</f>
        <v>74.099999999999994</v>
      </c>
      <c r="J91" s="80">
        <f>IF(ISNUMBER($D91),VLOOKUP($D91,'Factores generales'!$C$6:$Q$34,J$1),"")</f>
        <v>3</v>
      </c>
      <c r="K91" s="80">
        <f>IF(ISNUMBER($D91),VLOOKUP($D91,'Factores generales'!$C$6:$Q$34,K$1),"")</f>
        <v>0.6</v>
      </c>
      <c r="L91" s="113">
        <v>200</v>
      </c>
      <c r="M91" s="113">
        <v>10</v>
      </c>
      <c r="N91" s="113">
        <v>5</v>
      </c>
      <c r="O91" s="80">
        <f>IF(ISNUMBER($D91),VLOOKUP($D91,'Factores generales'!$C$6:$Q$34,O$1),"")</f>
        <v>36.279069767441861</v>
      </c>
      <c r="P91" s="80">
        <f>IF(ISNUMBER($D91),VLOOKUP($D91,'Factores generales'!$C$6:$Q$34,P$1),"")</f>
        <v>0.99</v>
      </c>
    </row>
    <row r="92" spans="2:16" x14ac:dyDescent="0.25">
      <c r="D92" s="11">
        <v>207</v>
      </c>
      <c r="E92" s="27" t="s">
        <v>98</v>
      </c>
      <c r="F92" t="s">
        <v>250</v>
      </c>
      <c r="H92" s="80">
        <f>IF(ISNUMBER($D92),VLOOKUP($D92,'Factores generales'!$C$6:$Q$34,H$1),"")</f>
        <v>40.4</v>
      </c>
      <c r="I92" s="80">
        <f>IF(ISNUMBER($D92),VLOOKUP($D92,'Factores generales'!$C$6:$Q$34,I$1),"")</f>
        <v>77.400000000000006</v>
      </c>
      <c r="J92" s="80">
        <f>IF(ISNUMBER($D92),VLOOKUP($D92,'Factores generales'!$C$6:$Q$34,J$1),"")</f>
        <v>3</v>
      </c>
      <c r="K92" s="80">
        <f>IF(ISNUMBER($D92),VLOOKUP($D92,'Factores generales'!$C$6:$Q$34,K$1),"")</f>
        <v>0.6</v>
      </c>
      <c r="L92" s="113">
        <v>200</v>
      </c>
      <c r="M92" s="113">
        <v>10</v>
      </c>
      <c r="N92" s="113">
        <v>5</v>
      </c>
      <c r="O92" s="80">
        <f>IF(ISNUMBER($D92),VLOOKUP($D92,'Factores generales'!$C$6:$Q$34,O$1),"")</f>
        <v>198.01980198019803</v>
      </c>
      <c r="P92" s="80">
        <f>IF(ISNUMBER($D92),VLOOKUP($D92,'Factores generales'!$C$6:$Q$34,P$1),"")</f>
        <v>0.99</v>
      </c>
    </row>
    <row r="93" spans="2:16" x14ac:dyDescent="0.25">
      <c r="B93" s="28" t="s">
        <v>272</v>
      </c>
      <c r="C93" s="28"/>
      <c r="D93" s="14"/>
      <c r="E93" s="29"/>
      <c r="F93"/>
      <c r="G93" s="1"/>
      <c r="H93" s="80" t="str">
        <f>IF(ISNUMBER($D93),VLOOKUP($D93,'Factores generales'!$C$6:$Q$34,H$1),"")</f>
        <v/>
      </c>
      <c r="I93" s="80" t="str">
        <f>IF(ISNUMBER($D93),VLOOKUP($D93,'Factores generales'!$C$6:$Q$34,I$1),"")</f>
        <v/>
      </c>
      <c r="J93" s="80" t="str">
        <f>IF(ISNUMBER($D93),VLOOKUP($D93,'Factores generales'!$C$6:$Q$34,J$1),"")</f>
        <v/>
      </c>
      <c r="K93" s="80" t="str">
        <f>IF(ISNUMBER($D93),VLOOKUP($D93,'Factores generales'!$C$6:$Q$34,K$1),"")</f>
        <v/>
      </c>
      <c r="L93" s="113"/>
      <c r="M93" s="113"/>
      <c r="N93" s="113"/>
      <c r="O93" s="80" t="str">
        <f>IF(ISNUMBER($D93),VLOOKUP($D93,'Factores generales'!$C$6:$Q$34,O$1),"")</f>
        <v/>
      </c>
      <c r="P93" s="80" t="str">
        <f>IF(ISNUMBER($D93),VLOOKUP($D93,'Factores generales'!$C$6:$Q$34,P$1),"")</f>
        <v/>
      </c>
    </row>
    <row r="94" spans="2:16" x14ac:dyDescent="0.25">
      <c r="B94" s="28"/>
      <c r="C94" s="28"/>
      <c r="D94" s="11">
        <v>301</v>
      </c>
      <c r="E94" s="11" t="s">
        <v>98</v>
      </c>
      <c r="F94" t="s">
        <v>106</v>
      </c>
      <c r="G94" s="1"/>
      <c r="H94" s="80">
        <f>IF(ISNUMBER($D94),VLOOKUP($D94,'Factores generales'!$C$6:$Q$34,H$1),"")</f>
        <v>34.512</v>
      </c>
      <c r="I94" s="80">
        <f>IF(ISNUMBER($D94),VLOOKUP($D94,'Factores generales'!$C$6:$Q$34,I$1),"")</f>
        <v>56.1</v>
      </c>
      <c r="J94" s="80">
        <f>IF(ISNUMBER($D94),VLOOKUP($D94,'Factores generales'!$C$6:$Q$34,J$1),"")</f>
        <v>1</v>
      </c>
      <c r="K94" s="80">
        <f>IF(ISNUMBER($D94),VLOOKUP($D94,'Factores generales'!$C$6:$Q$34,K$1),"")</f>
        <v>0.1</v>
      </c>
      <c r="L94" s="113">
        <v>150</v>
      </c>
      <c r="M94" s="113">
        <v>30</v>
      </c>
      <c r="N94" s="113">
        <v>5</v>
      </c>
      <c r="O94" s="80">
        <f>IF(ISNUMBER($D94),VLOOKUP($D94,'Factores generales'!$C$6:$Q$34,O$1),"")</f>
        <v>0</v>
      </c>
      <c r="P94" s="80">
        <f>IF(ISNUMBER($D94),VLOOKUP($D94,'Factores generales'!$C$6:$Q$34,P$1),"")</f>
        <v>0.995</v>
      </c>
    </row>
    <row r="95" spans="2:16" x14ac:dyDescent="0.25">
      <c r="B95" s="28"/>
      <c r="C95" s="28"/>
      <c r="D95" s="37">
        <v>208</v>
      </c>
      <c r="E95" s="11" t="s">
        <v>98</v>
      </c>
      <c r="F95" t="s">
        <v>255</v>
      </c>
      <c r="H95" s="80">
        <f>IF(ISNUMBER($D95),VLOOKUP($D95,'Factores generales'!$C$6:$Q$34,H$1),"")</f>
        <v>47.3</v>
      </c>
      <c r="I95" s="80">
        <f>IF(ISNUMBER($D95),VLOOKUP($D95,'Factores generales'!$C$6:$Q$34,I$1),"")</f>
        <v>63.1</v>
      </c>
      <c r="J95" s="80">
        <f>IF(ISNUMBER($D95),VLOOKUP($D95,'Factores generales'!$C$6:$Q$34,J$1),"")</f>
        <v>1</v>
      </c>
      <c r="K95" s="80">
        <f>IF(ISNUMBER($D95),VLOOKUP($D95,'Factores generales'!$C$6:$Q$34,K$1),"")</f>
        <v>0.1</v>
      </c>
      <c r="L95" s="118">
        <f>L90</f>
        <v>150</v>
      </c>
      <c r="M95" s="118">
        <f>M90</f>
        <v>30</v>
      </c>
      <c r="N95" s="118">
        <f>N90</f>
        <v>5</v>
      </c>
      <c r="O95" s="80">
        <f>IF(ISNUMBER($D95),VLOOKUP($D95,'Factores generales'!$C$6:$Q$34,O$1),"")</f>
        <v>4.2283298097251594</v>
      </c>
      <c r="P95" s="80">
        <f>IF(ISNUMBER($D95),VLOOKUP($D95,'Factores generales'!$C$6:$Q$34,P$1),"")</f>
        <v>0.99</v>
      </c>
    </row>
    <row r="96" spans="2:16" x14ac:dyDescent="0.25">
      <c r="B96" s="81"/>
      <c r="C96" s="81"/>
      <c r="D96" s="37">
        <v>206</v>
      </c>
      <c r="E96" s="11" t="s">
        <v>98</v>
      </c>
      <c r="F96" s="11" t="s">
        <v>249</v>
      </c>
      <c r="G96" s="1"/>
      <c r="H96" s="80">
        <f>IF(ISNUMBER($D96),VLOOKUP($D96,'Factores generales'!$C$6:$Q$34,H$1),"")</f>
        <v>43</v>
      </c>
      <c r="I96" s="80">
        <f>IF(ISNUMBER($D96),VLOOKUP($D96,'Factores generales'!$C$6:$Q$34,I$1),"")</f>
        <v>74.099999999999994</v>
      </c>
      <c r="J96" s="80">
        <f>IF(ISNUMBER($D96),VLOOKUP($D96,'Factores generales'!$C$6:$Q$34,J$1),"")</f>
        <v>3</v>
      </c>
      <c r="K96" s="80">
        <f>IF(ISNUMBER($D96),VLOOKUP($D96,'Factores generales'!$C$6:$Q$34,K$1),"")</f>
        <v>0.6</v>
      </c>
      <c r="L96" s="113">
        <v>200</v>
      </c>
      <c r="M96" s="113">
        <v>10</v>
      </c>
      <c r="N96" s="113">
        <v>5</v>
      </c>
      <c r="O96" s="80">
        <f>IF(ISNUMBER($D96),VLOOKUP($D96,'Factores generales'!$C$6:$Q$34,O$1),"")</f>
        <v>36.279069767441861</v>
      </c>
      <c r="P96" s="80">
        <f>IF(ISNUMBER($D96),VLOOKUP($D96,'Factores generales'!$C$6:$Q$34,P$1),"")</f>
        <v>0.99</v>
      </c>
    </row>
    <row r="97" spans="1:17" x14ac:dyDescent="0.25">
      <c r="B97" s="81"/>
      <c r="C97" s="81"/>
      <c r="D97" s="37">
        <v>207</v>
      </c>
      <c r="E97" s="11" t="s">
        <v>98</v>
      </c>
      <c r="F97" t="s">
        <v>250</v>
      </c>
      <c r="G97" s="1"/>
      <c r="H97" s="80">
        <f>IF(ISNUMBER($D97),VLOOKUP($D97,'Factores generales'!$C$6:$Q$34,H$1),"")</f>
        <v>40.4</v>
      </c>
      <c r="I97" s="80">
        <f>IF(ISNUMBER($D97),VLOOKUP($D97,'Factores generales'!$C$6:$Q$34,I$1),"")</f>
        <v>77.400000000000006</v>
      </c>
      <c r="J97" s="80">
        <f>IF(ISNUMBER($D97),VLOOKUP($D97,'Factores generales'!$C$6:$Q$34,J$1),"")</f>
        <v>3</v>
      </c>
      <c r="K97" s="80">
        <f>IF(ISNUMBER($D97),VLOOKUP($D97,'Factores generales'!$C$6:$Q$34,K$1),"")</f>
        <v>0.6</v>
      </c>
      <c r="L97" s="113">
        <v>200</v>
      </c>
      <c r="M97" s="113">
        <v>10</v>
      </c>
      <c r="N97" s="113">
        <v>5</v>
      </c>
      <c r="O97" s="80">
        <f>IF(ISNUMBER($D97),VLOOKUP($D97,'Factores generales'!$C$6:$Q$34,O$1),"")</f>
        <v>198.01980198019803</v>
      </c>
      <c r="P97" s="80">
        <f>IF(ISNUMBER($D97),VLOOKUP($D97,'Factores generales'!$C$6:$Q$34,P$1),"")</f>
        <v>0.99</v>
      </c>
    </row>
    <row r="98" spans="1:17" x14ac:dyDescent="0.25">
      <c r="B98" s="81"/>
      <c r="C98" s="81"/>
      <c r="D98" s="37">
        <v>209</v>
      </c>
      <c r="E98" s="11" t="s">
        <v>98</v>
      </c>
      <c r="F98" s="2" t="s">
        <v>268</v>
      </c>
      <c r="G98" s="1"/>
      <c r="H98" s="80">
        <f>IF(ISNUMBER($D98),VLOOKUP($D98,'Factores generales'!$C$6:$Q$34,H$1),"")</f>
        <v>44.3</v>
      </c>
      <c r="I98" s="80">
        <f>IF(ISNUMBER($D98),VLOOKUP($D98,'Factores generales'!$C$6:$Q$34,I$1),"")</f>
        <v>69.3</v>
      </c>
      <c r="J98" s="80">
        <f>IF(ISNUMBER($D98),VLOOKUP($D98,'Factores generales'!$C$6:$Q$34,J$1),"")</f>
        <v>3</v>
      </c>
      <c r="K98" s="80">
        <f>IF(ISNUMBER($D98),VLOOKUP($D98,'Factores generales'!$C$6:$Q$34,K$1),"")</f>
        <v>0.6</v>
      </c>
      <c r="L98" s="113">
        <v>200</v>
      </c>
      <c r="M98" s="113">
        <v>10</v>
      </c>
      <c r="N98" s="113">
        <v>5</v>
      </c>
      <c r="O98" s="80">
        <f>IF(ISNUMBER($D98),VLOOKUP($D98,'Factores generales'!$C$6:$Q$34,O$1),"")</f>
        <v>4.5146726862302486</v>
      </c>
      <c r="P98" s="80">
        <f>IF(ISNUMBER($D98),VLOOKUP($D98,'Factores generales'!$C$6:$Q$34,P$1),"")</f>
        <v>0.99</v>
      </c>
    </row>
    <row r="99" spans="1:17" x14ac:dyDescent="0.25">
      <c r="B99" s="81"/>
      <c r="C99" s="81"/>
      <c r="D99" s="27">
        <v>210</v>
      </c>
      <c r="E99" s="11" t="s">
        <v>98</v>
      </c>
      <c r="F99" s="2" t="s">
        <v>252</v>
      </c>
      <c r="G99" s="1"/>
      <c r="H99" s="80">
        <f>IF(ISNUMBER($D99),VLOOKUP($D99,'Factores generales'!$C$6:$Q$34,H$1),"")</f>
        <v>44.1</v>
      </c>
      <c r="I99" s="80">
        <f>IF(ISNUMBER($D99),VLOOKUP($D99,'Factores generales'!$C$6:$Q$34,I$1),"")</f>
        <v>71.5</v>
      </c>
      <c r="J99" s="80">
        <f>IF(ISNUMBER($D99),VLOOKUP($D99,'Factores generales'!$C$6:$Q$34,J$1),"")</f>
        <v>3</v>
      </c>
      <c r="K99" s="80">
        <f>IF(ISNUMBER($D99),VLOOKUP($D99,'Factores generales'!$C$6:$Q$34,K$1),"")</f>
        <v>0.6</v>
      </c>
      <c r="L99" s="113">
        <v>100</v>
      </c>
      <c r="M99" s="113">
        <v>20</v>
      </c>
      <c r="N99" s="113">
        <v>5</v>
      </c>
      <c r="O99" s="80">
        <f>IF(ISNUMBER($D99),VLOOKUP($D99,'Factores generales'!$C$6:$Q$34,O$1),"")</f>
        <v>45.351473922902493</v>
      </c>
      <c r="P99" s="80">
        <f>IF(ISNUMBER($D99),VLOOKUP($D99,'Factores generales'!$C$6:$Q$34,P$1),"")</f>
        <v>0.99</v>
      </c>
    </row>
    <row r="100" spans="1:17" x14ac:dyDescent="0.25">
      <c r="A100" s="10" t="s">
        <v>50</v>
      </c>
      <c r="B100" s="1" t="s">
        <v>18</v>
      </c>
      <c r="D100" s="11"/>
      <c r="E100"/>
      <c r="F100"/>
      <c r="H100" s="80" t="str">
        <f>IF(ISNUMBER($D100),VLOOKUP($D100,'Factores generales'!$C$6:$Q$34,H$1),"")</f>
        <v/>
      </c>
      <c r="I100" s="80" t="str">
        <f>IF(ISNUMBER($D100),VLOOKUP($D100,'Factores generales'!$C$6:$Q$34,I$1),"")</f>
        <v/>
      </c>
      <c r="J100" s="80" t="str">
        <f>IF(ISNUMBER($D100),VLOOKUP($D100,'Factores generales'!$C$6:$Q$34,J$1),"")</f>
        <v/>
      </c>
      <c r="K100" s="80" t="str">
        <f>IF(ISNUMBER($D100),VLOOKUP($D100,'Factores generales'!$C$6:$Q$34,K$1),"")</f>
        <v/>
      </c>
      <c r="L100" s="113"/>
      <c r="M100" s="113"/>
      <c r="N100" s="113"/>
      <c r="O100" s="80" t="str">
        <f>IF(ISNUMBER($D100),VLOOKUP($D100,'Factores generales'!$C$6:$Q$34,O$1),"")</f>
        <v/>
      </c>
      <c r="P100" s="80" t="str">
        <f>IF(ISNUMBER($D100),VLOOKUP($D100,'Factores generales'!$C$6:$Q$34,P$1),"")</f>
        <v/>
      </c>
    </row>
    <row r="101" spans="1:17" x14ac:dyDescent="0.25">
      <c r="A101" s="10" t="s">
        <v>53</v>
      </c>
      <c r="B101" s="1" t="s">
        <v>54</v>
      </c>
      <c r="D101" s="11"/>
      <c r="E101"/>
      <c r="F101"/>
      <c r="H101" s="80" t="str">
        <f>IF(ISNUMBER($D101),VLOOKUP($D101,'Factores generales'!$C$6:$Q$34,H$1),"")</f>
        <v/>
      </c>
      <c r="I101" s="80" t="str">
        <f>IF(ISNUMBER($D101),VLOOKUP($D101,'Factores generales'!$C$6:$Q$34,I$1),"")</f>
        <v/>
      </c>
      <c r="J101" s="80" t="str">
        <f>IF(ISNUMBER($D101),VLOOKUP($D101,'Factores generales'!$C$6:$Q$34,J$1),"")</f>
        <v/>
      </c>
      <c r="K101" s="80" t="str">
        <f>IF(ISNUMBER($D101),VLOOKUP($D101,'Factores generales'!$C$6:$Q$34,K$1),"")</f>
        <v/>
      </c>
      <c r="L101" s="113"/>
      <c r="M101" s="113"/>
      <c r="N101" s="113"/>
      <c r="O101" s="80" t="str">
        <f>IF(ISNUMBER($D101),VLOOKUP($D101,'Factores generales'!$C$6:$Q$34,O$1),"")</f>
        <v/>
      </c>
      <c r="P101" s="80" t="str">
        <f>IF(ISNUMBER($D101),VLOOKUP($D101,'Factores generales'!$C$6:$Q$34,P$1),"")</f>
        <v/>
      </c>
    </row>
    <row r="102" spans="1:17" x14ac:dyDescent="0.25">
      <c r="A102" s="20" t="s">
        <v>80</v>
      </c>
      <c r="B102" s="21" t="s">
        <v>81</v>
      </c>
      <c r="C102" s="27"/>
      <c r="D102" s="27"/>
      <c r="E102" s="2"/>
      <c r="F102" s="2"/>
      <c r="G102" s="27"/>
      <c r="H102" s="80" t="str">
        <f>IF(ISNUMBER($D102),VLOOKUP($D102,'Factores generales'!$C$6:$Q$34,H$1),"")</f>
        <v/>
      </c>
      <c r="I102" s="80" t="str">
        <f>IF(ISNUMBER($D102),VLOOKUP($D102,'Factores generales'!$C$6:$Q$34,I$1),"")</f>
        <v/>
      </c>
      <c r="J102" s="80" t="str">
        <f>IF(ISNUMBER($D102),VLOOKUP($D102,'Factores generales'!$C$6:$Q$34,J$1),"")</f>
        <v/>
      </c>
      <c r="K102" s="80" t="str">
        <f>IF(ISNUMBER($D102),VLOOKUP($D102,'Factores generales'!$C$6:$Q$34,K$1),"")</f>
        <v/>
      </c>
      <c r="L102" s="113"/>
      <c r="M102" s="113"/>
      <c r="N102" s="113"/>
      <c r="O102" s="80" t="str">
        <f>IF(ISNUMBER($D102),VLOOKUP($D102,'Factores generales'!$C$6:$Q$34,O$1),"")</f>
        <v/>
      </c>
      <c r="P102" s="80" t="str">
        <f>IF(ISNUMBER($D102),VLOOKUP($D102,'Factores generales'!$C$6:$Q$34,P$1),"")</f>
        <v/>
      </c>
    </row>
    <row r="103" spans="1:17" x14ac:dyDescent="0.25">
      <c r="A103" s="20"/>
      <c r="B103" s="21"/>
      <c r="C103" s="27"/>
      <c r="D103" s="27">
        <v>210</v>
      </c>
      <c r="E103" s="11" t="s">
        <v>98</v>
      </c>
      <c r="F103" s="2" t="s">
        <v>252</v>
      </c>
      <c r="G103" s="27"/>
      <c r="H103" s="80">
        <f>IF(ISNUMBER($D103),VLOOKUP($D103,'Factores generales'!$C$6:$Q$34,H$1),"")</f>
        <v>44.1</v>
      </c>
      <c r="I103" s="80">
        <f>IF(ISNUMBER($D103),VLOOKUP($D103,'Factores generales'!$C$6:$Q$34,I$1),"")</f>
        <v>71.5</v>
      </c>
      <c r="J103" s="115">
        <v>0.5</v>
      </c>
      <c r="K103" s="115">
        <v>2</v>
      </c>
      <c r="L103" s="119">
        <v>250</v>
      </c>
      <c r="M103" s="113">
        <v>100</v>
      </c>
      <c r="N103" s="113">
        <v>50</v>
      </c>
      <c r="O103" s="80">
        <f>IF(ISNUMBER($D103),VLOOKUP($D103,'Factores generales'!$C$6:$Q$34,O$1),"")</f>
        <v>45.351473922902493</v>
      </c>
      <c r="P103" s="80">
        <f>IF(ISNUMBER($D103),VLOOKUP($D103,'Factores generales'!$C$6:$Q$34,P$1),"")</f>
        <v>0.99</v>
      </c>
    </row>
    <row r="104" spans="1:17" x14ac:dyDescent="0.25">
      <c r="A104" s="20" t="s">
        <v>82</v>
      </c>
      <c r="B104" s="21" t="s">
        <v>83</v>
      </c>
      <c r="C104" s="27"/>
      <c r="D104" s="27"/>
      <c r="E104" s="2"/>
      <c r="F104" s="2"/>
      <c r="G104" s="27"/>
      <c r="H104" s="80" t="str">
        <f>IF(ISNUMBER($D104),VLOOKUP($D104,'Factores generales'!$C$6:$Q$34,H$1),"")</f>
        <v/>
      </c>
      <c r="I104" s="80" t="str">
        <f>IF(ISNUMBER($D104),VLOOKUP($D104,'Factores generales'!$C$6:$Q$34,I$1),"")</f>
        <v/>
      </c>
      <c r="J104" s="80" t="str">
        <f>IF(ISNUMBER($D104),VLOOKUP($D104,'Factores generales'!$C$6:$Q$34,J$1),"")</f>
        <v/>
      </c>
      <c r="K104" s="80" t="str">
        <f>IF(ISNUMBER($D104),VLOOKUP($D104,'Factores generales'!$C$6:$Q$34,K$1),"")</f>
        <v/>
      </c>
      <c r="L104" s="113"/>
      <c r="M104" s="113"/>
      <c r="N104" s="113"/>
      <c r="O104" s="80" t="str">
        <f>IF(ISNUMBER($D104),VLOOKUP($D104,'Factores generales'!$C$6:$Q$34,O$1),"")</f>
        <v/>
      </c>
      <c r="P104" s="80" t="str">
        <f>IF(ISNUMBER($D104),VLOOKUP($D104,'Factores generales'!$C$6:$Q$34,P$1),"")</f>
        <v/>
      </c>
    </row>
    <row r="105" spans="1:17" x14ac:dyDescent="0.25">
      <c r="A105" s="20"/>
      <c r="B105" s="21"/>
      <c r="C105" s="27"/>
      <c r="D105" s="27">
        <v>210</v>
      </c>
      <c r="E105" s="11" t="s">
        <v>98</v>
      </c>
      <c r="F105" s="2" t="s">
        <v>252</v>
      </c>
      <c r="G105" s="27"/>
      <c r="H105" s="80">
        <f>IF(ISNUMBER($D105),VLOOKUP($D105,'Factores generales'!$C$6:$Q$34,H$1),"")</f>
        <v>44.1</v>
      </c>
      <c r="I105" s="80">
        <f>IF(ISNUMBER($D105),VLOOKUP($D105,'Factores generales'!$C$6:$Q$34,I$1),"")</f>
        <v>71.5</v>
      </c>
      <c r="J105" s="115">
        <f>J103</f>
        <v>0.5</v>
      </c>
      <c r="K105" s="115">
        <f t="shared" ref="K105:N105" si="5">K103</f>
        <v>2</v>
      </c>
      <c r="L105" s="119">
        <f t="shared" si="5"/>
        <v>250</v>
      </c>
      <c r="M105" s="113">
        <f t="shared" si="5"/>
        <v>100</v>
      </c>
      <c r="N105" s="113">
        <f t="shared" si="5"/>
        <v>50</v>
      </c>
      <c r="O105" s="80">
        <f>IF(ISNUMBER($D105),VLOOKUP($D105,'Factores generales'!$C$6:$Q$34,O$1),"")</f>
        <v>45.351473922902493</v>
      </c>
      <c r="P105" s="80">
        <f>IF(ISNUMBER($D105),VLOOKUP($D105,'Factores generales'!$C$6:$Q$34,P$1),"")</f>
        <v>0.99</v>
      </c>
    </row>
    <row r="106" spans="1:17" x14ac:dyDescent="0.25">
      <c r="A106" s="10" t="s">
        <v>55</v>
      </c>
      <c r="B106" s="1" t="s">
        <v>56</v>
      </c>
      <c r="D106" s="11"/>
      <c r="E106"/>
      <c r="F106"/>
      <c r="H106" s="80" t="str">
        <f>IF(ISNUMBER($D106),VLOOKUP($D106,'Factores generales'!$C$6:$Q$34,H$1),"")</f>
        <v/>
      </c>
      <c r="I106" s="80" t="str">
        <f>IF(ISNUMBER($D106),VLOOKUP($D106,'Factores generales'!$C$6:$Q$34,I$1),"")</f>
        <v/>
      </c>
      <c r="J106" s="80" t="str">
        <f>IF(ISNUMBER($D106),VLOOKUP($D106,'Factores generales'!$C$6:$Q$34,J$1),"")</f>
        <v/>
      </c>
      <c r="K106" s="80" t="str">
        <f>IF(ISNUMBER($D106),VLOOKUP($D106,'Factores generales'!$C$6:$Q$34,K$1),"")</f>
        <v/>
      </c>
      <c r="L106" s="113"/>
      <c r="M106" s="113"/>
      <c r="N106" s="113"/>
      <c r="O106" s="80" t="str">
        <f>IF(ISNUMBER($D106),VLOOKUP($D106,'Factores generales'!$C$6:$Q$34,O$1),"")</f>
        <v/>
      </c>
      <c r="P106" s="80" t="str">
        <f>IF(ISNUMBER($D106),VLOOKUP($D106,'Factores generales'!$C$6:$Q$34,P$1),"")</f>
        <v/>
      </c>
    </row>
    <row r="107" spans="1:17" x14ac:dyDescent="0.25">
      <c r="A107" s="10"/>
      <c r="B107" s="21" t="s">
        <v>147</v>
      </c>
      <c r="C107" s="27"/>
      <c r="D107" s="27"/>
      <c r="E107" s="2"/>
      <c r="F107" s="2"/>
      <c r="G107" s="27"/>
      <c r="H107" s="80" t="str">
        <f>IF(ISNUMBER($D107),VLOOKUP($D107,'Factores generales'!$C$6:$Q$34,H$1),"")</f>
        <v/>
      </c>
      <c r="I107" s="80" t="str">
        <f>IF(ISNUMBER($D107),VLOOKUP($D107,'Factores generales'!$C$6:$Q$34,I$1),"")</f>
        <v/>
      </c>
      <c r="J107" s="80" t="str">
        <f>IF(ISNUMBER($D107),VLOOKUP($D107,'Factores generales'!$C$6:$Q$34,J$1),"")</f>
        <v/>
      </c>
      <c r="K107" s="80" t="str">
        <f>IF(ISNUMBER($D107),VLOOKUP($D107,'Factores generales'!$C$6:$Q$34,K$1),"")</f>
        <v/>
      </c>
      <c r="L107" s="113"/>
      <c r="M107" s="113"/>
      <c r="N107" s="113"/>
      <c r="O107" s="80" t="str">
        <f>IF(ISNUMBER($D107),VLOOKUP($D107,'Factores generales'!$C$6:$Q$34,O$1),"")</f>
        <v/>
      </c>
      <c r="P107" s="80" t="str">
        <f>IF(ISNUMBER($D107),VLOOKUP($D107,'Factores generales'!$C$6:$Q$34,P$1),"")</f>
        <v/>
      </c>
    </row>
    <row r="108" spans="1:17" x14ac:dyDescent="0.25">
      <c r="A108" s="10"/>
      <c r="B108" s="21"/>
      <c r="C108" s="27"/>
      <c r="D108" s="27">
        <v>301</v>
      </c>
      <c r="E108" s="27" t="s">
        <v>98</v>
      </c>
      <c r="F108" s="2" t="s">
        <v>100</v>
      </c>
      <c r="G108" s="27"/>
      <c r="H108" s="80">
        <f>IF(ISNUMBER($D108),VLOOKUP($D108,'Factores generales'!$C$6:$Q$34,H$1),"")</f>
        <v>34.512</v>
      </c>
      <c r="I108" s="80">
        <f>IF(ISNUMBER($D108),VLOOKUP($D108,'Factores generales'!$C$6:$Q$34,I$1),"")</f>
        <v>56.1</v>
      </c>
      <c r="J108" s="115">
        <v>92</v>
      </c>
      <c r="K108" s="115">
        <v>3</v>
      </c>
      <c r="L108" s="113">
        <v>600</v>
      </c>
      <c r="M108" s="113">
        <v>400</v>
      </c>
      <c r="N108" s="113">
        <v>5</v>
      </c>
      <c r="O108" s="80">
        <f>IF(ISNUMBER($D108),VLOOKUP($D108,'Factores generales'!$C$6:$Q$34,O$1),"")</f>
        <v>0</v>
      </c>
      <c r="P108" s="80">
        <f>IF(ISNUMBER($D108),VLOOKUP($D108,'Factores generales'!$C$6:$Q$34,P$1),"")</f>
        <v>0.995</v>
      </c>
    </row>
    <row r="109" spans="1:17" x14ac:dyDescent="0.25">
      <c r="A109" s="10"/>
      <c r="B109" s="21"/>
      <c r="C109" s="27"/>
      <c r="D109" s="27">
        <v>206</v>
      </c>
      <c r="E109" s="27" t="s">
        <v>98</v>
      </c>
      <c r="F109" s="2" t="s">
        <v>249</v>
      </c>
      <c r="G109" s="27"/>
      <c r="H109" s="80">
        <f>IF(ISNUMBER($D109),VLOOKUP($D109,'Factores generales'!$C$6:$Q$34,H$1),"")</f>
        <v>43</v>
      </c>
      <c r="I109" s="80">
        <f>IF(ISNUMBER($D109),VLOOKUP($D109,'Factores generales'!$C$6:$Q$34,I$1),"")</f>
        <v>74.099999999999994</v>
      </c>
      <c r="J109" s="115">
        <v>3.9</v>
      </c>
      <c r="K109" s="115">
        <v>3.9</v>
      </c>
      <c r="L109" s="113">
        <v>800</v>
      </c>
      <c r="M109" s="113">
        <v>1000</v>
      </c>
      <c r="N109" s="113">
        <v>200</v>
      </c>
      <c r="O109" s="80">
        <f>IF(ISNUMBER($D109),VLOOKUP($D109,'Factores generales'!$C$6:$Q$34,O$1),"")</f>
        <v>36.279069767441861</v>
      </c>
      <c r="P109" s="80">
        <f>IF(ISNUMBER($D109),VLOOKUP($D109,'Factores generales'!$C$6:$Q$34,P$1),"")</f>
        <v>0.99</v>
      </c>
      <c r="Q109" s="117"/>
    </row>
    <row r="110" spans="1:17" x14ac:dyDescent="0.25">
      <c r="A110" s="10"/>
      <c r="B110" s="21"/>
      <c r="C110" s="27"/>
      <c r="D110" s="27">
        <v>209</v>
      </c>
      <c r="E110" s="27" t="s">
        <v>98</v>
      </c>
      <c r="F110" s="2" t="s">
        <v>268</v>
      </c>
      <c r="G110" s="27"/>
      <c r="H110" s="80">
        <f>IF(ISNUMBER($D110),VLOOKUP($D110,'Factores generales'!$C$6:$Q$34,H$1),"")</f>
        <v>44.3</v>
      </c>
      <c r="I110" s="80">
        <f>IF(ISNUMBER($D110),VLOOKUP($D110,'Factores generales'!$C$6:$Q$34,I$1),"")</f>
        <v>69.3</v>
      </c>
      <c r="J110" s="115">
        <v>25</v>
      </c>
      <c r="K110" s="115">
        <v>8</v>
      </c>
      <c r="L110" s="113">
        <v>600</v>
      </c>
      <c r="M110" s="113">
        <v>8000</v>
      </c>
      <c r="N110" s="113">
        <v>1500</v>
      </c>
      <c r="O110" s="80">
        <f>IF(ISNUMBER($D110),VLOOKUP($D110,'Factores generales'!$C$6:$Q$34,O$1),"")</f>
        <v>4.5146726862302486</v>
      </c>
      <c r="P110" s="80">
        <f>IF(ISNUMBER($D110),VLOOKUP($D110,'Factores generales'!$C$6:$Q$34,P$1),"")</f>
        <v>0.99</v>
      </c>
    </row>
    <row r="111" spans="1:17" x14ac:dyDescent="0.25">
      <c r="A111" s="10"/>
      <c r="B111" s="21"/>
      <c r="C111" s="27"/>
      <c r="D111" s="27">
        <v>405</v>
      </c>
      <c r="E111" s="27" t="s">
        <v>98</v>
      </c>
      <c r="F111" s="2" t="s">
        <v>251</v>
      </c>
      <c r="G111" s="27"/>
      <c r="H111" s="80">
        <f>IF(ISNUMBER($D111),VLOOKUP($D111,'Factores generales'!$C$6:$Q$34,H$1),"")</f>
        <v>43</v>
      </c>
      <c r="I111" s="80">
        <f>IF(ISNUMBER($D111),VLOOKUP($D111,'Factores generales'!$C$6:$Q$34,I$1),"")</f>
        <v>74.099999999999994</v>
      </c>
      <c r="J111" s="116">
        <f t="shared" ref="J111:L112" si="6">J109</f>
        <v>3.9</v>
      </c>
      <c r="K111" s="116">
        <f t="shared" si="6"/>
        <v>3.9</v>
      </c>
      <c r="L111" s="118">
        <f t="shared" si="6"/>
        <v>800</v>
      </c>
      <c r="M111" s="118">
        <f t="shared" ref="M111:N112" si="7">M109</f>
        <v>1000</v>
      </c>
      <c r="N111" s="118">
        <f t="shared" si="7"/>
        <v>200</v>
      </c>
      <c r="O111" s="80">
        <f>IF(ISNUMBER($D111),VLOOKUP($D111,'Factores generales'!$C$6:$Q$34,O$1),"")</f>
        <v>0</v>
      </c>
      <c r="P111" s="80">
        <f>IF(ISNUMBER($D111),VLOOKUP($D111,'Factores generales'!$C$6:$Q$34,P$1),"")</f>
        <v>0.99</v>
      </c>
    </row>
    <row r="112" spans="1:17" x14ac:dyDescent="0.25">
      <c r="A112" s="10"/>
      <c r="B112" s="21"/>
      <c r="C112" s="27"/>
      <c r="D112" s="27">
        <v>404</v>
      </c>
      <c r="E112" s="27" t="s">
        <v>98</v>
      </c>
      <c r="F112" s="2" t="s">
        <v>259</v>
      </c>
      <c r="G112" s="27"/>
      <c r="H112" s="80">
        <f>IF(ISNUMBER($D112),VLOOKUP($D112,'Factores generales'!$C$6:$Q$34,H$1),"")</f>
        <v>27</v>
      </c>
      <c r="I112" s="80">
        <f>IF(ISNUMBER($D112),VLOOKUP($D112,'Factores generales'!$C$6:$Q$34,I$1),"")</f>
        <v>70.8</v>
      </c>
      <c r="J112" s="116">
        <f t="shared" si="6"/>
        <v>25</v>
      </c>
      <c r="K112" s="116">
        <f t="shared" si="6"/>
        <v>8</v>
      </c>
      <c r="L112" s="118">
        <f t="shared" si="6"/>
        <v>600</v>
      </c>
      <c r="M112" s="118">
        <f t="shared" si="7"/>
        <v>8000</v>
      </c>
      <c r="N112" s="118">
        <f t="shared" si="7"/>
        <v>1500</v>
      </c>
      <c r="O112" s="80">
        <f>IF(ISNUMBER($D112),VLOOKUP($D112,'Factores generales'!$C$6:$Q$34,O$1),"")</f>
        <v>0</v>
      </c>
      <c r="P112" s="80">
        <f>IF(ISNUMBER($D112),VLOOKUP($D112,'Factores generales'!$C$6:$Q$34,P$1),"")</f>
        <v>0.99</v>
      </c>
    </row>
    <row r="113" spans="1:16" x14ac:dyDescent="0.25">
      <c r="A113" s="10"/>
      <c r="B113" s="21" t="s">
        <v>146</v>
      </c>
      <c r="C113" s="27"/>
      <c r="D113" s="27"/>
      <c r="E113" s="2"/>
      <c r="F113" s="2"/>
      <c r="G113" s="27"/>
      <c r="H113" s="80" t="str">
        <f>IF(ISNUMBER($D113),VLOOKUP($D113,'Factores generales'!$C$6:$Q$34,H$1),"")</f>
        <v/>
      </c>
      <c r="I113" s="80" t="str">
        <f>IF(ISNUMBER($D113),VLOOKUP($D113,'Factores generales'!$C$6:$Q$34,I$1),"")</f>
        <v/>
      </c>
      <c r="J113" s="80" t="str">
        <f>IF(ISNUMBER($D113),VLOOKUP($D113,'Factores generales'!$C$6:$Q$34,J$1),"")</f>
        <v/>
      </c>
      <c r="K113" s="80" t="str">
        <f>IF(ISNUMBER($D113),VLOOKUP($D113,'Factores generales'!$C$6:$Q$34,K$1),"")</f>
        <v/>
      </c>
      <c r="L113" s="113"/>
      <c r="M113" s="113"/>
      <c r="N113" s="113"/>
      <c r="O113" s="80" t="str">
        <f>IF(ISNUMBER($D113),VLOOKUP($D113,'Factores generales'!$C$6:$Q$34,O$1),"")</f>
        <v/>
      </c>
      <c r="P113" s="80" t="str">
        <f>IF(ISNUMBER($D113),VLOOKUP($D113,'Factores generales'!$C$6:$Q$34,P$1),"")</f>
        <v/>
      </c>
    </row>
    <row r="114" spans="1:16" x14ac:dyDescent="0.25">
      <c r="A114" s="10"/>
      <c r="B114" s="21"/>
      <c r="C114" s="27"/>
      <c r="D114" s="27">
        <v>206</v>
      </c>
      <c r="E114" s="27" t="s">
        <v>98</v>
      </c>
      <c r="F114" s="2" t="s">
        <v>249</v>
      </c>
      <c r="G114" s="27"/>
      <c r="H114" s="80">
        <f>IF(ISNUMBER($D114),VLOOKUP($D114,'Factores generales'!$C$6:$Q$34,H$1),"")</f>
        <v>43</v>
      </c>
      <c r="I114" s="80">
        <f>IF(ISNUMBER($D114),VLOOKUP($D114,'Factores generales'!$C$6:$Q$34,I$1),"")</f>
        <v>74.099999999999994</v>
      </c>
      <c r="J114" s="116">
        <f>J109</f>
        <v>3.9</v>
      </c>
      <c r="K114" s="116">
        <f>K109</f>
        <v>3.9</v>
      </c>
      <c r="L114" s="113">
        <f>L109</f>
        <v>800</v>
      </c>
      <c r="M114" s="113">
        <f t="shared" ref="M114:N114" si="8">M109</f>
        <v>1000</v>
      </c>
      <c r="N114" s="113">
        <f t="shared" si="8"/>
        <v>200</v>
      </c>
      <c r="O114" s="80">
        <f>IF(ISNUMBER($D114),VLOOKUP($D114,'Factores generales'!$C$6:$Q$34,O$1),"")</f>
        <v>36.279069767441861</v>
      </c>
      <c r="P114" s="80">
        <f>IF(ISNUMBER($D114),VLOOKUP($D114,'Factores generales'!$C$6:$Q$34,P$1),"")</f>
        <v>0.99</v>
      </c>
    </row>
    <row r="115" spans="1:16" x14ac:dyDescent="0.25">
      <c r="A115" s="10" t="s">
        <v>57</v>
      </c>
      <c r="B115" s="1" t="s">
        <v>58</v>
      </c>
      <c r="D115" s="11"/>
      <c r="E115"/>
      <c r="F115"/>
      <c r="H115" s="80" t="str">
        <f>IF(ISNUMBER($D115),VLOOKUP($D115,'Factores generales'!$C$6:$Q$34,H$1),"")</f>
        <v/>
      </c>
      <c r="I115" s="80" t="str">
        <f>IF(ISNUMBER($D115),VLOOKUP($D115,'Factores generales'!$C$6:$Q$34,I$1),"")</f>
        <v/>
      </c>
      <c r="J115" s="80" t="str">
        <f>IF(ISNUMBER($D115),VLOOKUP($D115,'Factores generales'!$C$6:$Q$34,J$1),"")</f>
        <v/>
      </c>
      <c r="K115" s="80" t="str">
        <f>IF(ISNUMBER($D115),VLOOKUP($D115,'Factores generales'!$C$6:$Q$34,K$1),"")</f>
        <v/>
      </c>
      <c r="L115" s="113"/>
      <c r="M115" s="113"/>
      <c r="N115" s="113"/>
      <c r="O115" s="80" t="str">
        <f>IF(ISNUMBER($D115),VLOOKUP($D115,'Factores generales'!$C$6:$Q$34,O$1),"")</f>
        <v/>
      </c>
      <c r="P115" s="80" t="str">
        <f>IF(ISNUMBER($D115),VLOOKUP($D115,'Factores generales'!$C$6:$Q$34,P$1),"")</f>
        <v/>
      </c>
    </row>
    <row r="116" spans="1:16" x14ac:dyDescent="0.25">
      <c r="A116" s="10"/>
      <c r="B116" s="1"/>
      <c r="D116" s="11">
        <v>206</v>
      </c>
      <c r="E116" s="11" t="s">
        <v>98</v>
      </c>
      <c r="F116" s="2" t="s">
        <v>249</v>
      </c>
      <c r="G116" s="27"/>
      <c r="H116" s="80">
        <f>IF(ISNUMBER($D116),VLOOKUP($D116,'Factores generales'!$C$6:$Q$34,H$1),"")</f>
        <v>43</v>
      </c>
      <c r="I116" s="80">
        <f>IF(ISNUMBER($D116),VLOOKUP($D116,'Factores generales'!$C$6:$Q$34,I$1),"")</f>
        <v>74.099999999999994</v>
      </c>
      <c r="J116" s="115">
        <v>4.1500000000000004</v>
      </c>
      <c r="K116" s="115">
        <v>28.6</v>
      </c>
      <c r="L116" s="113">
        <v>1200</v>
      </c>
      <c r="M116" s="113">
        <v>1000</v>
      </c>
      <c r="N116" s="113">
        <v>200</v>
      </c>
      <c r="O116" s="80">
        <f>IF(ISNUMBER($D116),VLOOKUP($D116,'Factores generales'!$C$6:$Q$34,O$1),"")</f>
        <v>36.279069767441861</v>
      </c>
      <c r="P116" s="80">
        <f>IF(ISNUMBER($D116),VLOOKUP($D116,'Factores generales'!$C$6:$Q$34,P$1),"")</f>
        <v>0.99</v>
      </c>
    </row>
    <row r="117" spans="1:16" x14ac:dyDescent="0.25">
      <c r="A117" s="10" t="s">
        <v>59</v>
      </c>
      <c r="B117" s="1" t="s">
        <v>60</v>
      </c>
      <c r="D117" s="11"/>
      <c r="E117"/>
      <c r="F117"/>
      <c r="H117" s="80" t="str">
        <f>IF(ISNUMBER($D117),VLOOKUP($D117,'Factores generales'!$C$6:$Q$34,H$1),"")</f>
        <v/>
      </c>
      <c r="I117" s="80" t="str">
        <f>IF(ISNUMBER($D117),VLOOKUP($D117,'Factores generales'!$C$6:$Q$34,I$1),"")</f>
        <v/>
      </c>
      <c r="J117" s="80" t="str">
        <f>IF(ISNUMBER($D117),VLOOKUP($D117,'Factores generales'!$C$6:$Q$34,J$1),"")</f>
        <v/>
      </c>
      <c r="K117" s="80" t="str">
        <f>IF(ISNUMBER($D117),VLOOKUP($D117,'Factores generales'!$C$6:$Q$34,K$1),"")</f>
        <v/>
      </c>
      <c r="L117" s="113"/>
      <c r="M117" s="113"/>
      <c r="N117" s="113"/>
      <c r="O117" s="80" t="str">
        <f>IF(ISNUMBER($D117),VLOOKUP($D117,'Factores generales'!$C$6:$Q$34,O$1),"")</f>
        <v/>
      </c>
      <c r="P117" s="80" t="str">
        <f>IF(ISNUMBER($D117),VLOOKUP($D117,'Factores generales'!$C$6:$Q$34,P$1),"")</f>
        <v/>
      </c>
    </row>
    <row r="118" spans="1:16" x14ac:dyDescent="0.25">
      <c r="A118" s="20" t="s">
        <v>84</v>
      </c>
      <c r="B118" s="21" t="s">
        <v>86</v>
      </c>
      <c r="C118" s="27"/>
      <c r="D118" s="27"/>
      <c r="E118" s="2"/>
      <c r="F118" s="2"/>
      <c r="G118" s="27"/>
      <c r="H118" s="80" t="str">
        <f>IF(ISNUMBER($D118),VLOOKUP($D118,'Factores generales'!$C$6:$Q$34,H$1),"")</f>
        <v/>
      </c>
      <c r="I118" s="80" t="str">
        <f>IF(ISNUMBER($D118),VLOOKUP($D118,'Factores generales'!$C$6:$Q$34,I$1),"")</f>
        <v/>
      </c>
      <c r="J118" s="80" t="str">
        <f>IF(ISNUMBER($D118),VLOOKUP($D118,'Factores generales'!$C$6:$Q$34,J$1),"")</f>
        <v/>
      </c>
      <c r="K118" s="80" t="str">
        <f>IF(ISNUMBER($D118),VLOOKUP($D118,'Factores generales'!$C$6:$Q$34,K$1),"")</f>
        <v/>
      </c>
      <c r="L118" s="113"/>
      <c r="M118" s="113"/>
      <c r="N118" s="113"/>
      <c r="O118" s="80" t="str">
        <f>IF(ISNUMBER($D118),VLOOKUP($D118,'Factores generales'!$C$6:$Q$34,O$1),"")</f>
        <v/>
      </c>
      <c r="P118" s="80" t="str">
        <f>IF(ISNUMBER($D118),VLOOKUP($D118,'Factores generales'!$C$6:$Q$34,P$1),"")</f>
        <v/>
      </c>
    </row>
    <row r="119" spans="1:16" x14ac:dyDescent="0.25">
      <c r="A119" s="20"/>
      <c r="B119" s="21"/>
      <c r="C119" s="27"/>
      <c r="D119" s="27">
        <v>206</v>
      </c>
      <c r="E119" s="11" t="s">
        <v>98</v>
      </c>
      <c r="F119" s="2" t="s">
        <v>249</v>
      </c>
      <c r="G119" s="27"/>
      <c r="H119" s="80">
        <f>IF(ISNUMBER($D119),VLOOKUP($D119,'Factores generales'!$C$6:$Q$34,H$1),"")</f>
        <v>43</v>
      </c>
      <c r="I119" s="80">
        <f>IF(ISNUMBER($D119),VLOOKUP($D119,'Factores generales'!$C$6:$Q$34,I$1),"")</f>
        <v>74.099999999999994</v>
      </c>
      <c r="J119" s="115">
        <v>7</v>
      </c>
      <c r="K119" s="115">
        <v>2</v>
      </c>
      <c r="L119" s="113">
        <v>1500</v>
      </c>
      <c r="M119" s="113">
        <v>1000</v>
      </c>
      <c r="N119" s="113">
        <v>200</v>
      </c>
      <c r="O119" s="80">
        <f>IF(ISNUMBER($D119),VLOOKUP($D119,'Factores generales'!$C$6:$Q$34,O$1),"")</f>
        <v>36.279069767441861</v>
      </c>
      <c r="P119" s="80">
        <f>IF(ISNUMBER($D119),VLOOKUP($D119,'Factores generales'!$C$6:$Q$34,P$1),"")</f>
        <v>0.99</v>
      </c>
    </row>
    <row r="120" spans="1:16" x14ac:dyDescent="0.25">
      <c r="A120" s="20"/>
      <c r="B120" s="21"/>
      <c r="C120" s="27"/>
      <c r="D120" s="27">
        <v>207</v>
      </c>
      <c r="E120" s="11" t="s">
        <v>98</v>
      </c>
      <c r="F120" s="2" t="s">
        <v>250</v>
      </c>
      <c r="G120" s="27"/>
      <c r="H120" s="80">
        <f>IF(ISNUMBER($D120),VLOOKUP($D120,'Factores generales'!$C$6:$Q$34,H$1),"")</f>
        <v>40.4</v>
      </c>
      <c r="I120" s="80">
        <f>IF(ISNUMBER($D120),VLOOKUP($D120,'Factores generales'!$C$6:$Q$34,I$1),"")</f>
        <v>77.400000000000006</v>
      </c>
      <c r="J120" s="116">
        <f>J119</f>
        <v>7</v>
      </c>
      <c r="K120" s="116">
        <f>K119</f>
        <v>2</v>
      </c>
      <c r="L120" s="113">
        <f>L119</f>
        <v>1500</v>
      </c>
      <c r="M120" s="113">
        <f t="shared" ref="M120:N120" si="9">M119</f>
        <v>1000</v>
      </c>
      <c r="N120" s="113">
        <f t="shared" si="9"/>
        <v>200</v>
      </c>
      <c r="O120" s="80">
        <f>IF(ISNUMBER($D120),VLOOKUP($D120,'Factores generales'!$C$6:$Q$34,O$1),"")</f>
        <v>198.01980198019803</v>
      </c>
      <c r="P120" s="80">
        <f>IF(ISNUMBER($D120),VLOOKUP($D120,'Factores generales'!$C$6:$Q$34,P$1),"")</f>
        <v>0.99</v>
      </c>
    </row>
    <row r="121" spans="1:16" x14ac:dyDescent="0.25">
      <c r="A121" s="20" t="s">
        <v>85</v>
      </c>
      <c r="B121" s="21" t="s">
        <v>87</v>
      </c>
      <c r="C121" s="27"/>
      <c r="D121" s="27"/>
      <c r="E121" s="2"/>
      <c r="F121" s="2"/>
      <c r="G121" s="27"/>
      <c r="H121" s="80" t="str">
        <f>IF(ISNUMBER($D121),VLOOKUP($D121,'Factores generales'!$C$6:$Q$34,H$1),"")</f>
        <v/>
      </c>
      <c r="I121" s="80" t="str">
        <f>IF(ISNUMBER($D121),VLOOKUP($D121,'Factores generales'!$C$6:$Q$34,I$1),"")</f>
        <v/>
      </c>
      <c r="J121" s="80" t="str">
        <f>IF(ISNUMBER($D121),VLOOKUP($D121,'Factores generales'!$C$6:$Q$34,J$1),"")</f>
        <v/>
      </c>
      <c r="K121" s="80" t="str">
        <f>IF(ISNUMBER($D121),VLOOKUP($D121,'Factores generales'!$C$6:$Q$34,K$1),"")</f>
        <v/>
      </c>
      <c r="L121" s="113"/>
      <c r="M121" s="113"/>
      <c r="N121" s="113"/>
      <c r="O121" s="80" t="str">
        <f>IF(ISNUMBER($D121),VLOOKUP($D121,'Factores generales'!$C$6:$Q$34,O$1),"")</f>
        <v/>
      </c>
      <c r="P121" s="80" t="str">
        <f>IF(ISNUMBER($D121),VLOOKUP($D121,'Factores generales'!$C$6:$Q$34,P$1),"")</f>
        <v/>
      </c>
    </row>
    <row r="122" spans="1:16" x14ac:dyDescent="0.25">
      <c r="A122" s="20"/>
      <c r="B122" s="21"/>
      <c r="C122" s="27"/>
      <c r="D122" s="27">
        <v>206</v>
      </c>
      <c r="E122" s="11" t="s">
        <v>98</v>
      </c>
      <c r="F122" s="2" t="s">
        <v>249</v>
      </c>
      <c r="G122" s="27"/>
      <c r="H122" s="80">
        <f>IF(ISNUMBER($D122),VLOOKUP($D122,'Factores generales'!$C$6:$Q$34,H$1),"")</f>
        <v>43</v>
      </c>
      <c r="I122" s="80">
        <f>IF(ISNUMBER($D122),VLOOKUP($D122,'Factores generales'!$C$6:$Q$34,I$1),"")</f>
        <v>74.099999999999994</v>
      </c>
      <c r="J122" s="116">
        <f>J119</f>
        <v>7</v>
      </c>
      <c r="K122" s="116">
        <f>K119</f>
        <v>2</v>
      </c>
      <c r="L122" s="113">
        <f>L119</f>
        <v>1500</v>
      </c>
      <c r="M122" s="113">
        <f t="shared" ref="M122:N122" si="10">M119</f>
        <v>1000</v>
      </c>
      <c r="N122" s="113">
        <f t="shared" si="10"/>
        <v>200</v>
      </c>
      <c r="O122" s="80">
        <f>IF(ISNUMBER($D122),VLOOKUP($D122,'Factores generales'!$C$6:$Q$34,O$1),"")</f>
        <v>36.279069767441861</v>
      </c>
      <c r="P122" s="80">
        <f>IF(ISNUMBER($D122),VLOOKUP($D122,'Factores generales'!$C$6:$Q$34,P$1),"")</f>
        <v>0.99</v>
      </c>
    </row>
    <row r="123" spans="1:16" x14ac:dyDescent="0.25">
      <c r="A123" s="20"/>
      <c r="B123" s="21"/>
      <c r="C123" s="27"/>
      <c r="D123" s="27">
        <v>207</v>
      </c>
      <c r="E123" s="11" t="s">
        <v>98</v>
      </c>
      <c r="F123" s="2" t="s">
        <v>250</v>
      </c>
      <c r="G123" s="27"/>
      <c r="H123" s="80">
        <f>IF(ISNUMBER($D123),VLOOKUP($D123,'Factores generales'!$C$6:$Q$34,H$1),"")</f>
        <v>40.4</v>
      </c>
      <c r="I123" s="80">
        <f>IF(ISNUMBER($D123),VLOOKUP($D123,'Factores generales'!$C$6:$Q$34,I$1),"")</f>
        <v>77.400000000000006</v>
      </c>
      <c r="J123" s="116">
        <f>J119</f>
        <v>7</v>
      </c>
      <c r="K123" s="116">
        <f>K119</f>
        <v>2</v>
      </c>
      <c r="L123" s="113">
        <f>L119</f>
        <v>1500</v>
      </c>
      <c r="M123" s="113">
        <f t="shared" ref="M123:N123" si="11">M119</f>
        <v>1000</v>
      </c>
      <c r="N123" s="113">
        <f t="shared" si="11"/>
        <v>200</v>
      </c>
      <c r="O123" s="80">
        <f>IF(ISNUMBER($D123),VLOOKUP($D123,'Factores generales'!$C$6:$Q$34,O$1),"")</f>
        <v>198.01980198019803</v>
      </c>
      <c r="P123" s="80">
        <f>IF(ISNUMBER($D123),VLOOKUP($D123,'Factores generales'!$C$6:$Q$34,P$1),"")</f>
        <v>0.99</v>
      </c>
    </row>
    <row r="124" spans="1:16" x14ac:dyDescent="0.25">
      <c r="A124" s="10" t="s">
        <v>61</v>
      </c>
      <c r="B124" s="1" t="s">
        <v>62</v>
      </c>
      <c r="D124" s="11"/>
      <c r="E124"/>
      <c r="F124"/>
      <c r="H124" s="80" t="str">
        <f>IF(ISNUMBER($D124),VLOOKUP($D124,'Factores generales'!$C$6:$Q$34,H$1),"")</f>
        <v/>
      </c>
      <c r="I124" s="80" t="str">
        <f>IF(ISNUMBER($D124),VLOOKUP($D124,'Factores generales'!$C$6:$Q$34,I$1),"")</f>
        <v/>
      </c>
      <c r="J124" s="80" t="str">
        <f>IF(ISNUMBER($D124),VLOOKUP($D124,'Factores generales'!$C$6:$Q$34,J$1),"")</f>
        <v/>
      </c>
      <c r="K124" s="80" t="str">
        <f>IF(ISNUMBER($D124),VLOOKUP($D124,'Factores generales'!$C$6:$Q$34,K$1),"")</f>
        <v/>
      </c>
      <c r="L124" s="113"/>
      <c r="M124" s="113"/>
      <c r="N124" s="113"/>
      <c r="O124" s="80" t="str">
        <f>IF(ISNUMBER($D124),VLOOKUP($D124,'Factores generales'!$C$6:$Q$34,O$1),"")</f>
        <v/>
      </c>
      <c r="P124" s="80" t="str">
        <f>IF(ISNUMBER($D124),VLOOKUP($D124,'Factores generales'!$C$6:$Q$34,P$1),"")</f>
        <v/>
      </c>
    </row>
    <row r="125" spans="1:16" x14ac:dyDescent="0.25">
      <c r="A125" s="10" t="s">
        <v>63</v>
      </c>
      <c r="B125" s="1" t="s">
        <v>64</v>
      </c>
      <c r="D125" s="11"/>
      <c r="E125"/>
      <c r="F125"/>
      <c r="H125" s="80" t="str">
        <f>IF(ISNUMBER($D125),VLOOKUP($D125,'Factores generales'!$C$6:$Q$34,H$1),"")</f>
        <v/>
      </c>
      <c r="I125" s="80" t="str">
        <f>IF(ISNUMBER($D125),VLOOKUP($D125,'Factores generales'!$C$6:$Q$34,I$1),"")</f>
        <v/>
      </c>
      <c r="J125" s="80" t="str">
        <f>IF(ISNUMBER($D125),VLOOKUP($D125,'Factores generales'!$C$6:$Q$34,J$1),"")</f>
        <v/>
      </c>
      <c r="K125" s="80" t="str">
        <f>IF(ISNUMBER($D125),VLOOKUP($D125,'Factores generales'!$C$6:$Q$34,K$1),"")</f>
        <v/>
      </c>
      <c r="L125" s="113"/>
      <c r="M125" s="113"/>
      <c r="N125" s="113"/>
      <c r="O125" s="80" t="str">
        <f>IF(ISNUMBER($D125),VLOOKUP($D125,'Factores generales'!$C$6:$Q$34,O$1),"")</f>
        <v/>
      </c>
      <c r="P125" s="80" t="str">
        <f>IF(ISNUMBER($D125),VLOOKUP($D125,'Factores generales'!$C$6:$Q$34,P$1),"")</f>
        <v/>
      </c>
    </row>
    <row r="126" spans="1:16" x14ac:dyDescent="0.25">
      <c r="A126" s="10"/>
      <c r="B126" s="1"/>
      <c r="D126" s="11">
        <v>301</v>
      </c>
      <c r="E126" s="11" t="s">
        <v>98</v>
      </c>
      <c r="F126" t="s">
        <v>8</v>
      </c>
      <c r="H126" s="80">
        <f>IF(ISNUMBER($D126),VLOOKUP($D126,'Factores generales'!$C$6:$Q$34,H$1),"")</f>
        <v>34.512</v>
      </c>
      <c r="I126" s="80">
        <f>IF(ISNUMBER($D126),VLOOKUP($D126,'Factores generales'!$C$6:$Q$34,I$1),"")</f>
        <v>56.1</v>
      </c>
      <c r="J126" s="80">
        <f>IF(ISNUMBER($D126),VLOOKUP($D126,'Factores generales'!$C$6:$Q$34,J$1),"")</f>
        <v>1</v>
      </c>
      <c r="K126" s="80">
        <f>IF(ISNUMBER($D126),VLOOKUP($D126,'Factores generales'!$C$6:$Q$34,K$1),"")</f>
        <v>0.1</v>
      </c>
      <c r="L126" s="113">
        <v>150</v>
      </c>
      <c r="M126" s="113">
        <v>20</v>
      </c>
      <c r="N126" s="113">
        <v>5</v>
      </c>
      <c r="O126" s="80">
        <f>IF(ISNUMBER($D126),VLOOKUP($D126,'Factores generales'!$C$6:$Q$34,O$1),"")</f>
        <v>0</v>
      </c>
      <c r="P126" s="80">
        <f>IF(ISNUMBER($D126),VLOOKUP($D126,'Factores generales'!$C$6:$Q$34,P$1),"")</f>
        <v>0.995</v>
      </c>
    </row>
    <row r="127" spans="1:16" x14ac:dyDescent="0.25">
      <c r="A127" s="10"/>
      <c r="B127" s="1"/>
      <c r="D127" s="27">
        <v>206</v>
      </c>
      <c r="E127" s="11" t="s">
        <v>98</v>
      </c>
      <c r="F127" s="2" t="s">
        <v>249</v>
      </c>
      <c r="H127" s="80">
        <f>IF(ISNUMBER($D127),VLOOKUP($D127,'Factores generales'!$C$6:$Q$34,H$1),"")</f>
        <v>43</v>
      </c>
      <c r="I127" s="80">
        <f>IF(ISNUMBER($D127),VLOOKUP($D127,'Factores generales'!$C$6:$Q$34,I$1),"")</f>
        <v>74.099999999999994</v>
      </c>
      <c r="J127" s="80">
        <f>IF(ISNUMBER($D127),VLOOKUP($D127,'Factores generales'!$C$6:$Q$34,J$1),"")</f>
        <v>3</v>
      </c>
      <c r="K127" s="80">
        <f>IF(ISNUMBER($D127),VLOOKUP($D127,'Factores generales'!$C$6:$Q$34,K$1),"")</f>
        <v>0.6</v>
      </c>
      <c r="L127" s="113">
        <v>200</v>
      </c>
      <c r="M127" s="113">
        <v>15</v>
      </c>
      <c r="N127" s="113">
        <v>5</v>
      </c>
      <c r="O127" s="80">
        <f>IF(ISNUMBER($D127),VLOOKUP($D127,'Factores generales'!$C$6:$Q$34,O$1),"")</f>
        <v>36.279069767441861</v>
      </c>
      <c r="P127" s="80">
        <f>IF(ISNUMBER($D127),VLOOKUP($D127,'Factores generales'!$C$6:$Q$34,P$1),"")</f>
        <v>0.99</v>
      </c>
    </row>
    <row r="128" spans="1:16" x14ac:dyDescent="0.25">
      <c r="A128" s="10"/>
      <c r="B128" s="1"/>
      <c r="D128" s="11">
        <v>303</v>
      </c>
      <c r="E128" s="11" t="s">
        <v>98</v>
      </c>
      <c r="F128" s="11" t="s">
        <v>10</v>
      </c>
      <c r="H128" s="80">
        <f>IF(ISNUMBER($D128),VLOOKUP($D128,'Factores generales'!$C$6:$Q$34,H$1),"")</f>
        <v>36.580500000000001</v>
      </c>
      <c r="I128" s="80">
        <f>IF(ISNUMBER($D128),VLOOKUP($D128,'Factores generales'!$C$6:$Q$34,I$1),"")</f>
        <v>57.6</v>
      </c>
      <c r="J128" s="80">
        <f>IF(ISNUMBER($D128),VLOOKUP($D128,'Factores generales'!$C$6:$Q$34,J$1),"")</f>
        <v>1</v>
      </c>
      <c r="K128" s="80">
        <f>IF(ISNUMBER($D128),VLOOKUP($D128,'Factores generales'!$C$6:$Q$34,K$1),"")</f>
        <v>0.1</v>
      </c>
      <c r="L128" s="118">
        <f>L126</f>
        <v>150</v>
      </c>
      <c r="M128" s="118">
        <f t="shared" ref="M128:N128" si="12">M126</f>
        <v>20</v>
      </c>
      <c r="N128" s="118">
        <f t="shared" si="12"/>
        <v>5</v>
      </c>
      <c r="O128" s="80">
        <f>IF(ISNUMBER($D128),VLOOKUP($D128,'Factores generales'!$C$6:$Q$34,O$1),"")</f>
        <v>0</v>
      </c>
      <c r="P128" s="80">
        <f>IF(ISNUMBER($D128),VLOOKUP($D128,'Factores generales'!$C$6:$Q$34,P$1),"")</f>
        <v>0.995</v>
      </c>
    </row>
    <row r="129" spans="1:16" x14ac:dyDescent="0.25">
      <c r="A129" s="10" t="s">
        <v>66</v>
      </c>
      <c r="B129" s="1" t="s">
        <v>65</v>
      </c>
      <c r="D129" s="11"/>
      <c r="E129"/>
      <c r="F129"/>
      <c r="H129" s="80" t="str">
        <f>IF(ISNUMBER($D129),VLOOKUP($D129,'Factores generales'!$C$6:$Q$34,H$1),"")</f>
        <v/>
      </c>
      <c r="I129" s="80" t="str">
        <f>IF(ISNUMBER($D129),VLOOKUP($D129,'Factores generales'!$C$6:$Q$34,I$1),"")</f>
        <v/>
      </c>
      <c r="J129" s="80" t="str">
        <f>IF(ISNUMBER($D129),VLOOKUP($D129,'Factores generales'!$C$6:$Q$34,J$1),"")</f>
        <v/>
      </c>
      <c r="K129" s="80" t="str">
        <f>IF(ISNUMBER($D129),VLOOKUP($D129,'Factores generales'!$C$6:$Q$34,K$1),"")</f>
        <v/>
      </c>
      <c r="L129" s="113"/>
      <c r="M129" s="113"/>
      <c r="N129" s="113"/>
      <c r="O129" s="80" t="str">
        <f>IF(ISNUMBER($D129),VLOOKUP($D129,'Factores generales'!$C$6:$Q$34,O$1),"")</f>
        <v/>
      </c>
      <c r="P129" s="80" t="str">
        <f>IF(ISNUMBER($D129),VLOOKUP($D129,'Factores generales'!$C$6:$Q$34,P$1),"")</f>
        <v/>
      </c>
    </row>
    <row r="130" spans="1:16" x14ac:dyDescent="0.25">
      <c r="A130" s="10" t="s">
        <v>51</v>
      </c>
      <c r="B130" s="1" t="s">
        <v>67</v>
      </c>
      <c r="D130" s="11"/>
      <c r="E130"/>
      <c r="F130"/>
      <c r="H130" s="80" t="str">
        <f>IF(ISNUMBER($D130),VLOOKUP($D130,'Factores generales'!$C$6:$Q$34,H$1),"")</f>
        <v/>
      </c>
      <c r="I130" s="80" t="str">
        <f>IF(ISNUMBER($D130),VLOOKUP($D130,'Factores generales'!$C$6:$Q$34,I$1),"")</f>
        <v/>
      </c>
      <c r="J130" s="80" t="str">
        <f>IF(ISNUMBER($D130),VLOOKUP($D130,'Factores generales'!$C$6:$Q$34,J$1),"")</f>
        <v/>
      </c>
      <c r="K130" s="80" t="str">
        <f>IF(ISNUMBER($D130),VLOOKUP($D130,'Factores generales'!$C$6:$Q$34,K$1),"")</f>
        <v/>
      </c>
      <c r="L130" s="113"/>
      <c r="M130" s="113"/>
      <c r="N130" s="113"/>
      <c r="O130" s="80" t="str">
        <f>IF(ISNUMBER($D130),VLOOKUP($D130,'Factores generales'!$C$6:$Q$34,O$1),"")</f>
        <v/>
      </c>
      <c r="P130" s="80" t="str">
        <f>IF(ISNUMBER($D130),VLOOKUP($D130,'Factores generales'!$C$6:$Q$34,P$1),"")</f>
        <v/>
      </c>
    </row>
    <row r="131" spans="1:16" x14ac:dyDescent="0.25">
      <c r="A131" s="10" t="s">
        <v>68</v>
      </c>
      <c r="B131" s="1" t="s">
        <v>69</v>
      </c>
      <c r="D131" s="11"/>
      <c r="E131"/>
      <c r="F131"/>
      <c r="H131" s="80" t="str">
        <f>IF(ISNUMBER($D131),VLOOKUP($D131,'Factores generales'!$C$6:$Q$34,H$1),"")</f>
        <v/>
      </c>
      <c r="I131" s="80" t="str">
        <f>IF(ISNUMBER($D131),VLOOKUP($D131,'Factores generales'!$C$6:$Q$34,I$1),"")</f>
        <v/>
      </c>
      <c r="J131" s="80" t="str">
        <f>IF(ISNUMBER($D131),VLOOKUP($D131,'Factores generales'!$C$6:$Q$34,J$1),"")</f>
        <v/>
      </c>
      <c r="K131" s="80" t="str">
        <f>IF(ISNUMBER($D131),VLOOKUP($D131,'Factores generales'!$C$6:$Q$34,K$1),"")</f>
        <v/>
      </c>
      <c r="L131" s="113"/>
      <c r="M131" s="113"/>
      <c r="N131" s="113"/>
      <c r="O131" s="80" t="str">
        <f>IF(ISNUMBER($D131),VLOOKUP($D131,'Factores generales'!$C$6:$Q$34,O$1),"")</f>
        <v/>
      </c>
      <c r="P131" s="80" t="str">
        <f>IF(ISNUMBER($D131),VLOOKUP($D131,'Factores generales'!$C$6:$Q$34,P$1),"")</f>
        <v/>
      </c>
    </row>
    <row r="132" spans="1:16" x14ac:dyDescent="0.25">
      <c r="A132" s="10"/>
      <c r="B132" s="1"/>
      <c r="D132" s="11">
        <v>401</v>
      </c>
      <c r="E132" s="11" t="s">
        <v>98</v>
      </c>
      <c r="F132" t="s">
        <v>258</v>
      </c>
      <c r="H132" s="80">
        <f>IF(ISNUMBER($D132),VLOOKUP($D132,'Factores generales'!$C$6:$Q$34,H$1),"")</f>
        <v>15.6</v>
      </c>
      <c r="I132" s="80">
        <f>IF(ISNUMBER($D132),VLOOKUP($D132,'Factores generales'!$C$6:$Q$34,I$1),"")</f>
        <v>112</v>
      </c>
      <c r="J132" s="80">
        <f>IF(ISNUMBER($D132),VLOOKUP($D132,'Factores generales'!$C$6:$Q$34,J$1),"")</f>
        <v>30</v>
      </c>
      <c r="K132" s="80">
        <f>IF(ISNUMBER($D132),VLOOKUP($D132,'Factores generales'!$C$6:$Q$34,K$1),"")</f>
        <v>4</v>
      </c>
      <c r="L132" s="113">
        <v>100</v>
      </c>
      <c r="M132" s="113">
        <v>5000</v>
      </c>
      <c r="N132" s="113">
        <v>600</v>
      </c>
      <c r="O132" s="80">
        <f>IF(ISNUMBER($D132),VLOOKUP($D132,'Factores generales'!$C$6:$Q$34,O$1),"")</f>
        <v>256.41025641025641</v>
      </c>
      <c r="P132" s="80">
        <f>IF(ISNUMBER($D132),VLOOKUP($D132,'Factores generales'!$C$6:$Q$34,P$1),"")</f>
        <v>0.87</v>
      </c>
    </row>
    <row r="133" spans="1:16" x14ac:dyDescent="0.25">
      <c r="A133" s="10"/>
      <c r="B133" s="1"/>
      <c r="D133" s="11">
        <v>301</v>
      </c>
      <c r="E133" s="11" t="s">
        <v>98</v>
      </c>
      <c r="F133" t="s">
        <v>8</v>
      </c>
      <c r="H133" s="80">
        <f>IF(ISNUMBER($D133),VLOOKUP($D133,'Factores generales'!$C$6:$Q$34,H$1),"")</f>
        <v>34.512</v>
      </c>
      <c r="I133" s="80">
        <f>IF(ISNUMBER($D133),VLOOKUP($D133,'Factores generales'!$C$6:$Q$34,I$1),"")</f>
        <v>56.1</v>
      </c>
      <c r="J133" s="80">
        <f>IF(ISNUMBER($D133),VLOOKUP($D133,'Factores generales'!$C$6:$Q$34,J$1),"")</f>
        <v>1</v>
      </c>
      <c r="K133" s="80">
        <f>IF(ISNUMBER($D133),VLOOKUP($D133,'Factores generales'!$C$6:$Q$34,K$1),"")</f>
        <v>0.1</v>
      </c>
      <c r="L133" s="113">
        <v>150</v>
      </c>
      <c r="M133" s="113">
        <v>50</v>
      </c>
      <c r="N133" s="113">
        <v>5</v>
      </c>
      <c r="O133" s="80">
        <f>IF(ISNUMBER($D133),VLOOKUP($D133,'Factores generales'!$C$6:$Q$34,O$1),"")</f>
        <v>0</v>
      </c>
      <c r="P133" s="80">
        <f>IF(ISNUMBER($D133),VLOOKUP($D133,'Factores generales'!$C$6:$Q$34,P$1),"")</f>
        <v>0.995</v>
      </c>
    </row>
    <row r="134" spans="1:16" x14ac:dyDescent="0.25">
      <c r="A134" s="10"/>
      <c r="B134" s="1"/>
      <c r="D134" s="11">
        <v>208</v>
      </c>
      <c r="E134" s="11" t="s">
        <v>98</v>
      </c>
      <c r="F134" t="s">
        <v>255</v>
      </c>
      <c r="H134" s="80">
        <f>IF(ISNUMBER($D134),VLOOKUP($D134,'Factores generales'!$C$6:$Q$34,H$1),"")</f>
        <v>47.3</v>
      </c>
      <c r="I134" s="80">
        <f>IF(ISNUMBER($D134),VLOOKUP($D134,'Factores generales'!$C$6:$Q$34,I$1),"")</f>
        <v>63.1</v>
      </c>
      <c r="J134" s="80">
        <f>IF(ISNUMBER($D134),VLOOKUP($D134,'Factores generales'!$C$6:$Q$34,J$1),"")</f>
        <v>1</v>
      </c>
      <c r="K134" s="80">
        <f>IF(ISNUMBER($D134),VLOOKUP($D134,'Factores generales'!$C$6:$Q$34,K$1),"")</f>
        <v>0.1</v>
      </c>
      <c r="L134" s="118">
        <f>L133</f>
        <v>150</v>
      </c>
      <c r="M134" s="118">
        <f>M133</f>
        <v>50</v>
      </c>
      <c r="N134" s="118">
        <f>N133</f>
        <v>5</v>
      </c>
      <c r="O134" s="80">
        <f>IF(ISNUMBER($D134),VLOOKUP($D134,'Factores generales'!$C$6:$Q$34,O$1),"")</f>
        <v>4.2283298097251594</v>
      </c>
      <c r="P134" s="80">
        <f>IF(ISNUMBER($D134),VLOOKUP($D134,'Factores generales'!$C$6:$Q$34,P$1),"")</f>
        <v>0.99</v>
      </c>
    </row>
    <row r="135" spans="1:16" x14ac:dyDescent="0.25">
      <c r="A135" s="10"/>
      <c r="B135" s="1"/>
      <c r="D135" s="11">
        <v>206</v>
      </c>
      <c r="E135" s="11" t="s">
        <v>98</v>
      </c>
      <c r="F135" t="s">
        <v>249</v>
      </c>
      <c r="H135" s="80">
        <f>IF(ISNUMBER($D135),VLOOKUP($D135,'Factores generales'!$C$6:$Q$34,H$1),"")</f>
        <v>43</v>
      </c>
      <c r="I135" s="80">
        <f>IF(ISNUMBER($D135),VLOOKUP($D135,'Factores generales'!$C$6:$Q$34,I$1),"")</f>
        <v>74.099999999999994</v>
      </c>
      <c r="J135" s="80">
        <f>IF(ISNUMBER($D135),VLOOKUP($D135,'Factores generales'!$C$6:$Q$34,J$1),"")</f>
        <v>3</v>
      </c>
      <c r="K135" s="80">
        <f>IF(ISNUMBER($D135),VLOOKUP($D135,'Factores generales'!$C$6:$Q$34,K$1),"")</f>
        <v>0.6</v>
      </c>
      <c r="L135" s="113">
        <v>100</v>
      </c>
      <c r="M135" s="113">
        <v>20</v>
      </c>
      <c r="N135" s="113">
        <v>5</v>
      </c>
      <c r="O135" s="80">
        <f>IF(ISNUMBER($D135),VLOOKUP($D135,'Factores generales'!$C$6:$Q$34,O$1),"")</f>
        <v>36.279069767441861</v>
      </c>
      <c r="P135" s="80">
        <f>IF(ISNUMBER($D135),VLOOKUP($D135,'Factores generales'!$C$6:$Q$34,P$1),"")</f>
        <v>0.99</v>
      </c>
    </row>
    <row r="136" spans="1:16" x14ac:dyDescent="0.25">
      <c r="A136" s="10"/>
      <c r="B136" s="1"/>
      <c r="D136" s="11">
        <v>207</v>
      </c>
      <c r="E136" s="11" t="s">
        <v>98</v>
      </c>
      <c r="F136" t="s">
        <v>250</v>
      </c>
      <c r="H136" s="80">
        <f>IF(ISNUMBER($D136),VLOOKUP($D136,'Factores generales'!$C$6:$Q$34,H$1),"")</f>
        <v>40.4</v>
      </c>
      <c r="I136" s="80">
        <f>IF(ISNUMBER($D136),VLOOKUP($D136,'Factores generales'!$C$6:$Q$34,I$1),"")</f>
        <v>77.400000000000006</v>
      </c>
      <c r="J136" s="80">
        <f>IF(ISNUMBER($D136),VLOOKUP($D136,'Factores generales'!$C$6:$Q$34,J$1),"")</f>
        <v>3</v>
      </c>
      <c r="K136" s="80">
        <f>IF(ISNUMBER($D136),VLOOKUP($D136,'Factores generales'!$C$6:$Q$34,K$1),"")</f>
        <v>0.6</v>
      </c>
      <c r="L136" s="113">
        <v>100</v>
      </c>
      <c r="M136" s="113">
        <v>20</v>
      </c>
      <c r="N136" s="113">
        <v>5</v>
      </c>
      <c r="O136" s="80">
        <f>IF(ISNUMBER($D136),VLOOKUP($D136,'Factores generales'!$C$6:$Q$34,O$1),"")</f>
        <v>198.01980198019803</v>
      </c>
      <c r="P136" s="80">
        <f>IF(ISNUMBER($D136),VLOOKUP($D136,'Factores generales'!$C$6:$Q$34,P$1),"")</f>
        <v>0.99</v>
      </c>
    </row>
    <row r="137" spans="1:16" x14ac:dyDescent="0.25">
      <c r="A137" s="10" t="s">
        <v>70</v>
      </c>
      <c r="B137" s="1" t="s">
        <v>3</v>
      </c>
      <c r="D137" s="11"/>
      <c r="E137"/>
      <c r="F137"/>
      <c r="H137" s="80" t="str">
        <f>IF(ISNUMBER($D137),VLOOKUP($D137,'Factores generales'!$C$6:$Q$34,H$1),"")</f>
        <v/>
      </c>
      <c r="I137" s="80" t="str">
        <f>IF(ISNUMBER($D137),VLOOKUP($D137,'Factores generales'!$C$6:$Q$34,I$1),"")</f>
        <v/>
      </c>
      <c r="J137" s="80" t="str">
        <f>IF(ISNUMBER($D137),VLOOKUP($D137,'Factores generales'!$C$6:$Q$34,J$1),"")</f>
        <v/>
      </c>
      <c r="K137" s="80" t="str">
        <f>IF(ISNUMBER($D137),VLOOKUP($D137,'Factores generales'!$C$6:$Q$34,K$1),"")</f>
        <v/>
      </c>
      <c r="L137" s="113"/>
      <c r="M137" s="113"/>
      <c r="N137" s="113"/>
      <c r="O137" s="80" t="str">
        <f>IF(ISNUMBER($D137),VLOOKUP($D137,'Factores generales'!$C$6:$Q$34,O$1),"")</f>
        <v/>
      </c>
      <c r="P137" s="80" t="str">
        <f>IF(ISNUMBER($D137),VLOOKUP($D137,'Factores generales'!$C$6:$Q$34,P$1),"")</f>
        <v/>
      </c>
    </row>
    <row r="138" spans="1:16" x14ac:dyDescent="0.25">
      <c r="A138" s="10"/>
      <c r="B138" s="1"/>
      <c r="D138" s="11">
        <v>401</v>
      </c>
      <c r="E138" s="11" t="s">
        <v>98</v>
      </c>
      <c r="F138" t="s">
        <v>258</v>
      </c>
      <c r="H138" s="80">
        <f>IF(ISNUMBER($D138),VLOOKUP($D138,'Factores generales'!$C$6:$Q$34,H$1),"")</f>
        <v>15.6</v>
      </c>
      <c r="I138" s="80">
        <f>IF(ISNUMBER($D138),VLOOKUP($D138,'Factores generales'!$C$6:$Q$34,I$1),"")</f>
        <v>112</v>
      </c>
      <c r="J138" s="80">
        <f>IF(ISNUMBER($D138),VLOOKUP($D138,'Factores generales'!$C$6:$Q$34,J$1),"")</f>
        <v>30</v>
      </c>
      <c r="K138" s="80">
        <f>IF(ISNUMBER($D138),VLOOKUP($D138,'Factores generales'!$C$6:$Q$34,K$1),"")</f>
        <v>4</v>
      </c>
      <c r="L138" s="113">
        <v>100</v>
      </c>
      <c r="M138" s="113">
        <v>5000</v>
      </c>
      <c r="N138" s="113">
        <v>600</v>
      </c>
      <c r="O138" s="80">
        <f>IF(ISNUMBER($D138),VLOOKUP($D138,'Factores generales'!$C$6:$Q$34,O$1),"")</f>
        <v>256.41025641025641</v>
      </c>
      <c r="P138" s="80">
        <f>IF(ISNUMBER($D138),VLOOKUP($D138,'Factores generales'!$C$6:$Q$34,P$1),"")</f>
        <v>0.87</v>
      </c>
    </row>
    <row r="139" spans="1:16" x14ac:dyDescent="0.25">
      <c r="A139" s="10"/>
      <c r="B139" s="1"/>
      <c r="D139" s="11">
        <v>406</v>
      </c>
      <c r="E139" s="11" t="s">
        <v>98</v>
      </c>
      <c r="F139" t="s">
        <v>256</v>
      </c>
      <c r="H139" s="80">
        <f>IF(ISNUMBER($D139),VLOOKUP($D139,'Factores generales'!$C$6:$Q$34,H$1),"")</f>
        <v>11.6</v>
      </c>
      <c r="I139" s="80">
        <f>IF(ISNUMBER($D139),VLOOKUP($D139,'Factores generales'!$C$6:$Q$34,I$1),"")</f>
        <v>100</v>
      </c>
      <c r="J139" s="80">
        <f>IF(ISNUMBER($D139),VLOOKUP($D139,'Factores generales'!$C$6:$Q$34,J$1),"")</f>
        <v>30</v>
      </c>
      <c r="K139" s="80">
        <f>IF(ISNUMBER($D139),VLOOKUP($D139,'Factores generales'!$C$6:$Q$34,K$1),"")</f>
        <v>4</v>
      </c>
      <c r="L139" s="113">
        <v>100</v>
      </c>
      <c r="M139" s="113">
        <v>5000</v>
      </c>
      <c r="N139" s="113">
        <v>600</v>
      </c>
      <c r="O139" s="80">
        <f>IF(ISNUMBER($D139),VLOOKUP($D139,'Factores generales'!$C$6:$Q$34,O$1),"")</f>
        <v>0</v>
      </c>
      <c r="P139" s="80">
        <f>IF(ISNUMBER($D139),VLOOKUP($D139,'Factores generales'!$C$6:$Q$34,P$1),"")</f>
        <v>0.87</v>
      </c>
    </row>
    <row r="140" spans="1:16" x14ac:dyDescent="0.25">
      <c r="A140" s="10"/>
      <c r="B140" s="1"/>
      <c r="D140" s="11">
        <v>301</v>
      </c>
      <c r="E140" s="11" t="s">
        <v>98</v>
      </c>
      <c r="F140" t="s">
        <v>8</v>
      </c>
      <c r="H140" s="80">
        <f>IF(ISNUMBER($D140),VLOOKUP($D140,'Factores generales'!$C$6:$Q$34,H$1),"")</f>
        <v>34.512</v>
      </c>
      <c r="I140" s="80">
        <f>IF(ISNUMBER($D140),VLOOKUP($D140,'Factores generales'!$C$6:$Q$34,I$1),"")</f>
        <v>56.1</v>
      </c>
      <c r="J140" s="80">
        <f>IF(ISNUMBER($D140),VLOOKUP($D140,'Factores generales'!$C$6:$Q$34,J$1),"")</f>
        <v>1</v>
      </c>
      <c r="K140" s="80">
        <f>IF(ISNUMBER($D140),VLOOKUP($D140,'Factores generales'!$C$6:$Q$34,K$1),"")</f>
        <v>0.1</v>
      </c>
      <c r="L140" s="113">
        <v>150</v>
      </c>
      <c r="M140" s="113">
        <v>50</v>
      </c>
      <c r="N140" s="113">
        <v>5</v>
      </c>
      <c r="O140" s="80">
        <f>IF(ISNUMBER($D140),VLOOKUP($D140,'Factores generales'!$C$6:$Q$34,O$1),"")</f>
        <v>0</v>
      </c>
      <c r="P140" s="80">
        <f>IF(ISNUMBER($D140),VLOOKUP($D140,'Factores generales'!$C$6:$Q$34,P$1),"")</f>
        <v>0.995</v>
      </c>
    </row>
    <row r="141" spans="1:16" x14ac:dyDescent="0.25">
      <c r="A141" s="10"/>
      <c r="B141" s="1"/>
      <c r="D141" s="11">
        <v>208</v>
      </c>
      <c r="E141" s="11" t="s">
        <v>98</v>
      </c>
      <c r="F141" t="s">
        <v>255</v>
      </c>
      <c r="H141" s="80">
        <f>IF(ISNUMBER($D141),VLOOKUP($D141,'Factores generales'!$C$6:$Q$34,H$1),"")</f>
        <v>47.3</v>
      </c>
      <c r="I141" s="80">
        <f>IF(ISNUMBER($D141),VLOOKUP($D141,'Factores generales'!$C$6:$Q$34,I$1),"")</f>
        <v>63.1</v>
      </c>
      <c r="J141" s="80">
        <f>IF(ISNUMBER($D141),VLOOKUP($D141,'Factores generales'!$C$6:$Q$34,J$1),"")</f>
        <v>1</v>
      </c>
      <c r="K141" s="80">
        <f>IF(ISNUMBER($D141),VLOOKUP($D141,'Factores generales'!$C$6:$Q$34,K$1),"")</f>
        <v>0.1</v>
      </c>
      <c r="L141" s="118">
        <f>L140</f>
        <v>150</v>
      </c>
      <c r="M141" s="118">
        <f>M140</f>
        <v>50</v>
      </c>
      <c r="N141" s="118">
        <f>N140</f>
        <v>5</v>
      </c>
      <c r="O141" s="80">
        <f>IF(ISNUMBER($D141),VLOOKUP($D141,'Factores generales'!$C$6:$Q$34,O$1),"")</f>
        <v>4.2283298097251594</v>
      </c>
      <c r="P141" s="80">
        <f>IF(ISNUMBER($D141),VLOOKUP($D141,'Factores generales'!$C$6:$Q$34,P$1),"")</f>
        <v>0.99</v>
      </c>
    </row>
    <row r="142" spans="1:16" x14ac:dyDescent="0.25">
      <c r="A142" s="10"/>
      <c r="B142" s="1"/>
      <c r="D142" s="11">
        <v>210</v>
      </c>
      <c r="E142" s="11" t="s">
        <v>98</v>
      </c>
      <c r="F142" t="s">
        <v>252</v>
      </c>
      <c r="H142" s="80">
        <f>IF(ISNUMBER($D142),VLOOKUP($D142,'Factores generales'!$C$6:$Q$34,H$1),"")</f>
        <v>44.1</v>
      </c>
      <c r="I142" s="80">
        <f>IF(ISNUMBER($D142),VLOOKUP($D142,'Factores generales'!$C$6:$Q$34,I$1),"")</f>
        <v>71.5</v>
      </c>
      <c r="J142" s="80">
        <f>IF(ISNUMBER($D142),VLOOKUP($D142,'Factores generales'!$C$6:$Q$34,J$1),"")</f>
        <v>3</v>
      </c>
      <c r="K142" s="80">
        <f>IF(ISNUMBER($D142),VLOOKUP($D142,'Factores generales'!$C$6:$Q$34,K$1),"")</f>
        <v>0.6</v>
      </c>
      <c r="L142" s="113">
        <v>100</v>
      </c>
      <c r="M142" s="113">
        <v>20</v>
      </c>
      <c r="N142" s="113">
        <v>5</v>
      </c>
      <c r="O142" s="80">
        <f>IF(ISNUMBER($D142),VLOOKUP($D142,'Factores generales'!$C$6:$Q$34,O$1),"")</f>
        <v>45.351473922902493</v>
      </c>
      <c r="P142" s="80">
        <f>IF(ISNUMBER($D142),VLOOKUP($D142,'Factores generales'!$C$6:$Q$34,P$1),"")</f>
        <v>0.99</v>
      </c>
    </row>
    <row r="143" spans="1:16" x14ac:dyDescent="0.25">
      <c r="A143" s="10"/>
      <c r="B143" s="1"/>
      <c r="D143" s="11">
        <v>402</v>
      </c>
      <c r="E143" s="11" t="s">
        <v>98</v>
      </c>
      <c r="F143" t="s">
        <v>260</v>
      </c>
      <c r="H143" s="80">
        <f>IF(ISNUMBER($D143),VLOOKUP($D143,'Factores generales'!$C$6:$Q$34,H$1),"")</f>
        <v>29.5</v>
      </c>
      <c r="I143" s="80">
        <f>IF(ISNUMBER($D143),VLOOKUP($D143,'Factores generales'!$C$6:$Q$34,I$1),"")</f>
        <v>112</v>
      </c>
      <c r="J143" s="80">
        <f>IF(ISNUMBER($D143),VLOOKUP($D143,'Factores generales'!$C$6:$Q$34,J$1),"")</f>
        <v>200</v>
      </c>
      <c r="K143" s="80">
        <f>IF(ISNUMBER($D143),VLOOKUP($D143,'Factores generales'!$C$6:$Q$34,K$1),"")</f>
        <v>4</v>
      </c>
      <c r="L143" s="113">
        <v>100</v>
      </c>
      <c r="M143" s="113">
        <v>7000</v>
      </c>
      <c r="N143" s="113">
        <v>100</v>
      </c>
      <c r="O143" s="80">
        <f>IF(ISNUMBER($D143),VLOOKUP($D143,'Factores generales'!$C$6:$Q$34,O$1),"")</f>
        <v>0</v>
      </c>
      <c r="P143" s="80">
        <f>IF(ISNUMBER($D143),VLOOKUP($D143,'Factores generales'!$C$6:$Q$34,P$1),"")</f>
        <v>0.87</v>
      </c>
    </row>
    <row r="144" spans="1:16" x14ac:dyDescent="0.25">
      <c r="A144" s="10" t="s">
        <v>71</v>
      </c>
      <c r="B144" s="1" t="s">
        <v>72</v>
      </c>
      <c r="D144" s="11"/>
      <c r="E144"/>
      <c r="F144"/>
      <c r="H144" s="80" t="str">
        <f>IF(ISNUMBER($D144),VLOOKUP($D144,'Factores generales'!$C$6:$Q$34,H$1),"")</f>
        <v/>
      </c>
      <c r="I144" s="80" t="str">
        <f>IF(ISNUMBER($D144),VLOOKUP($D144,'Factores generales'!$C$6:$Q$34,I$1),"")</f>
        <v/>
      </c>
      <c r="J144" s="80" t="str">
        <f>IF(ISNUMBER($D144),VLOOKUP($D144,'Factores generales'!$C$6:$Q$34,J$1),"")</f>
        <v/>
      </c>
      <c r="K144" s="80" t="str">
        <f>IF(ISNUMBER($D144),VLOOKUP($D144,'Factores generales'!$C$6:$Q$34,K$1),"")</f>
        <v/>
      </c>
      <c r="L144" s="113"/>
      <c r="M144" s="113"/>
      <c r="N144" s="113"/>
      <c r="O144" s="80" t="str">
        <f>IF(ISNUMBER($D144),VLOOKUP($D144,'Factores generales'!$C$6:$Q$34,O$1),"")</f>
        <v/>
      </c>
      <c r="P144" s="80" t="str">
        <f>IF(ISNUMBER($D144),VLOOKUP($D144,'Factores generales'!$C$6:$Q$34,P$1),"")</f>
        <v/>
      </c>
    </row>
    <row r="145" spans="1:16" x14ac:dyDescent="0.25">
      <c r="A145" s="10"/>
      <c r="B145" s="1"/>
      <c r="D145" s="11">
        <v>208</v>
      </c>
      <c r="E145" s="11" t="s">
        <v>98</v>
      </c>
      <c r="F145" t="s">
        <v>255</v>
      </c>
      <c r="H145" s="80">
        <f>IF(ISNUMBER($D145),VLOOKUP($D145,'Factores generales'!$C$6:$Q$34,H$1),"")</f>
        <v>47.3</v>
      </c>
      <c r="I145" s="80">
        <f>IF(ISNUMBER($D145),VLOOKUP($D145,'Factores generales'!$C$6:$Q$34,I$1),"")</f>
        <v>63.1</v>
      </c>
      <c r="J145" s="80">
        <f>IF(ISNUMBER($D145),VLOOKUP($D145,'Factores generales'!$C$6:$Q$34,J$1),"")</f>
        <v>1</v>
      </c>
      <c r="K145" s="80">
        <f>IF(ISNUMBER($D145),VLOOKUP($D145,'Factores generales'!$C$6:$Q$34,K$1),"")</f>
        <v>0.1</v>
      </c>
      <c r="L145" s="118">
        <f>L140</f>
        <v>150</v>
      </c>
      <c r="M145" s="118">
        <f t="shared" ref="M145:N145" si="13">M140</f>
        <v>50</v>
      </c>
      <c r="N145" s="118">
        <f t="shared" si="13"/>
        <v>5</v>
      </c>
      <c r="O145" s="80">
        <f>IF(ISNUMBER($D145),VLOOKUP($D145,'Factores generales'!$C$6:$Q$34,O$1),"")</f>
        <v>4.2283298097251594</v>
      </c>
      <c r="P145" s="80">
        <f>IF(ISNUMBER($D145),VLOOKUP($D145,'Factores generales'!$C$6:$Q$34,P$1),"")</f>
        <v>0.99</v>
      </c>
    </row>
    <row r="146" spans="1:16" x14ac:dyDescent="0.25">
      <c r="A146" s="10"/>
      <c r="B146" s="1"/>
      <c r="D146" s="11">
        <v>209</v>
      </c>
      <c r="E146" s="11" t="s">
        <v>98</v>
      </c>
      <c r="F146" t="s">
        <v>268</v>
      </c>
      <c r="H146" s="80">
        <f>IF(ISNUMBER($D146),VLOOKUP($D146,'Factores generales'!$C$6:$Q$34,H$1),"")</f>
        <v>44.3</v>
      </c>
      <c r="I146" s="80">
        <f>IF(ISNUMBER($D146),VLOOKUP($D146,'Factores generales'!$C$6:$Q$34,I$1),"")</f>
        <v>69.3</v>
      </c>
      <c r="J146" s="80">
        <f>IF(ISNUMBER($D146),VLOOKUP($D146,'Factores generales'!$C$6:$Q$34,J$1),"")</f>
        <v>3</v>
      </c>
      <c r="K146" s="80">
        <f>IF(ISNUMBER($D146),VLOOKUP($D146,'Factores generales'!$C$6:$Q$34,K$1),"")</f>
        <v>0.6</v>
      </c>
      <c r="L146" s="113">
        <v>1200</v>
      </c>
      <c r="M146" s="113">
        <v>1000</v>
      </c>
      <c r="N146" s="113">
        <v>200</v>
      </c>
      <c r="O146" s="80">
        <f>IF(ISNUMBER($D146),VLOOKUP($D146,'Factores generales'!$C$6:$Q$34,O$1),"")</f>
        <v>4.5146726862302486</v>
      </c>
      <c r="P146" s="80">
        <f>IF(ISNUMBER($D146),VLOOKUP($D146,'Factores generales'!$C$6:$Q$34,P$1),"")</f>
        <v>0.99</v>
      </c>
    </row>
    <row r="147" spans="1:16" x14ac:dyDescent="0.25">
      <c r="D147" s="11">
        <v>206</v>
      </c>
      <c r="E147" s="11" t="s">
        <v>98</v>
      </c>
      <c r="F147" t="s">
        <v>249</v>
      </c>
      <c r="H147" s="80">
        <f>IF(ISNUMBER($D147),VLOOKUP($D147,'Factores generales'!$C$6:$Q$34,H$1),"")</f>
        <v>43</v>
      </c>
      <c r="I147" s="80">
        <f>IF(ISNUMBER($D147),VLOOKUP($D147,'Factores generales'!$C$6:$Q$34,I$1),"")</f>
        <v>74.099999999999994</v>
      </c>
      <c r="J147" s="80">
        <f>IF(ISNUMBER($D147),VLOOKUP($D147,'Factores generales'!$C$6:$Q$34,J$1),"")</f>
        <v>3</v>
      </c>
      <c r="K147" s="80">
        <f>IF(ISNUMBER($D147),VLOOKUP($D147,'Factores generales'!$C$6:$Q$34,K$1),"")</f>
        <v>0.6</v>
      </c>
      <c r="L147" s="113">
        <v>1200</v>
      </c>
      <c r="M147" s="113">
        <v>1000</v>
      </c>
      <c r="N147" s="113">
        <v>200</v>
      </c>
      <c r="O147" s="80">
        <f>IF(ISNUMBER($D147),VLOOKUP($D147,'Factores generales'!$C$6:$Q$34,O$1),"")</f>
        <v>36.279069767441861</v>
      </c>
      <c r="P147" s="80">
        <f>IF(ISNUMBER($D147),VLOOKUP($D147,'Factores generales'!$C$6:$Q$34,P$1),"")</f>
        <v>0.99</v>
      </c>
    </row>
    <row r="148" spans="1:16" x14ac:dyDescent="0.25">
      <c r="D148" s="11">
        <v>207</v>
      </c>
      <c r="E148" s="11" t="s">
        <v>98</v>
      </c>
      <c r="F148" t="s">
        <v>250</v>
      </c>
      <c r="H148" s="80">
        <f>IF(ISNUMBER($D148),VLOOKUP($D148,'Factores generales'!$C$6:$Q$34,H$1),"")</f>
        <v>40.4</v>
      </c>
      <c r="I148" s="80">
        <f>IF(ISNUMBER($D148),VLOOKUP($D148,'Factores generales'!$C$6:$Q$34,I$1),"")</f>
        <v>77.400000000000006</v>
      </c>
      <c r="J148" s="80">
        <f>IF(ISNUMBER($D148),VLOOKUP($D148,'Factores generales'!$C$6:$Q$34,J$1),"")</f>
        <v>3</v>
      </c>
      <c r="K148" s="80">
        <f>IF(ISNUMBER($D148),VLOOKUP($D148,'Factores generales'!$C$6:$Q$34,K$1),"")</f>
        <v>0.6</v>
      </c>
      <c r="L148" s="113">
        <v>1200</v>
      </c>
      <c r="M148" s="113">
        <v>1000</v>
      </c>
      <c r="N148" s="113">
        <v>200</v>
      </c>
      <c r="O148" s="80">
        <f>IF(ISNUMBER($D148),VLOOKUP($D148,'Factores generales'!$C$6:$Q$34,O$1),"")</f>
        <v>198.01980198019803</v>
      </c>
      <c r="P148" s="80">
        <f>IF(ISNUMBER($D148),VLOOKUP($D148,'Factores generales'!$C$6:$Q$34,P$1),"")</f>
        <v>0.99</v>
      </c>
    </row>
    <row r="149" spans="1:16" x14ac:dyDescent="0.25">
      <c r="A149" s="10" t="s">
        <v>52</v>
      </c>
      <c r="B149" s="1" t="s">
        <v>73</v>
      </c>
      <c r="D149" s="11"/>
      <c r="E149"/>
      <c r="F149"/>
      <c r="H149" s="26"/>
      <c r="I149" s="12"/>
      <c r="J149" s="12"/>
      <c r="K149" s="12"/>
      <c r="L149" s="112"/>
      <c r="M149" s="112"/>
      <c r="N149" s="112"/>
      <c r="O149" s="12"/>
      <c r="P149" s="12"/>
    </row>
    <row r="150" spans="1:16" x14ac:dyDescent="0.25">
      <c r="A150" s="10" t="s">
        <v>149</v>
      </c>
      <c r="B150" s="1" t="s">
        <v>101</v>
      </c>
      <c r="D150" s="11"/>
      <c r="E150"/>
      <c r="F150"/>
      <c r="H150" s="26"/>
      <c r="I150" s="12"/>
      <c r="J150" s="12"/>
      <c r="K150" s="12"/>
      <c r="L150" s="112"/>
      <c r="M150" s="112"/>
      <c r="N150" s="112"/>
      <c r="O150" s="12"/>
      <c r="P150" s="12"/>
    </row>
    <row r="151" spans="1:16" x14ac:dyDescent="0.25">
      <c r="A151" s="10" t="s">
        <v>150</v>
      </c>
      <c r="B151" s="1" t="s">
        <v>151</v>
      </c>
      <c r="D151" s="11"/>
      <c r="E151"/>
      <c r="F151"/>
      <c r="H151" s="26"/>
      <c r="I151" s="12"/>
      <c r="J151" s="12"/>
      <c r="K151" s="12"/>
      <c r="L151" s="112"/>
      <c r="M151" s="112"/>
      <c r="N151" s="112"/>
      <c r="O151" s="12"/>
      <c r="P151" s="12"/>
    </row>
    <row r="152" spans="1:16" ht="18" x14ac:dyDescent="0.25">
      <c r="A152" s="10" t="s">
        <v>74</v>
      </c>
      <c r="B152" s="1" t="s">
        <v>75</v>
      </c>
      <c r="D152" s="11"/>
      <c r="E152"/>
      <c r="F152"/>
      <c r="H152" s="90"/>
      <c r="I152" s="89" t="s">
        <v>227</v>
      </c>
      <c r="J152" s="89" t="s">
        <v>228</v>
      </c>
      <c r="K152" s="89" t="s">
        <v>229</v>
      </c>
      <c r="L152" s="89" t="s">
        <v>230</v>
      </c>
      <c r="M152" s="89" t="s">
        <v>225</v>
      </c>
      <c r="N152" s="89" t="s">
        <v>226</v>
      </c>
      <c r="O152" s="89" t="s">
        <v>231</v>
      </c>
      <c r="P152" s="90"/>
    </row>
    <row r="153" spans="1:16" x14ac:dyDescent="0.25">
      <c r="A153" s="20" t="s">
        <v>89</v>
      </c>
      <c r="B153" s="21" t="s">
        <v>99</v>
      </c>
      <c r="C153" s="27"/>
      <c r="D153" s="27"/>
      <c r="E153" s="2"/>
      <c r="F153" s="2"/>
      <c r="G153" s="27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5">
      <c r="A154" s="20" t="s">
        <v>90</v>
      </c>
      <c r="B154" s="21" t="s">
        <v>91</v>
      </c>
      <c r="C154" s="27"/>
      <c r="D154" s="27"/>
      <c r="E154" s="2"/>
      <c r="F154" s="2"/>
      <c r="G154" s="27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5">
      <c r="A155" s="20" t="s">
        <v>92</v>
      </c>
      <c r="B155" s="21" t="s">
        <v>93</v>
      </c>
      <c r="C155" s="27"/>
      <c r="D155" s="27"/>
      <c r="E155" s="2"/>
      <c r="F155" s="2"/>
      <c r="G155" s="27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5">
      <c r="A156" s="27"/>
      <c r="B156" s="21" t="s">
        <v>94</v>
      </c>
      <c r="C156" s="27"/>
      <c r="D156" s="27"/>
      <c r="E156" s="2"/>
      <c r="F156" s="2"/>
      <c r="G156" s="27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5">
      <c r="A157" s="27"/>
      <c r="B157" s="21"/>
      <c r="C157" s="27"/>
      <c r="D157" s="27"/>
      <c r="E157" s="2" t="s">
        <v>17</v>
      </c>
      <c r="F157" s="2" t="s">
        <v>261</v>
      </c>
      <c r="H157" s="35"/>
      <c r="I157" s="34"/>
      <c r="J157" s="97">
        <f>18*0.67/1000000</f>
        <v>1.206E-5</v>
      </c>
      <c r="K157" s="34"/>
      <c r="L157" s="34"/>
      <c r="M157" s="34"/>
      <c r="N157" s="34"/>
      <c r="O157" s="34"/>
      <c r="P157" s="34"/>
    </row>
    <row r="158" spans="1:16" x14ac:dyDescent="0.25">
      <c r="A158" s="27"/>
      <c r="B158" s="21" t="s">
        <v>95</v>
      </c>
      <c r="C158" s="27"/>
      <c r="D158" s="27"/>
      <c r="E158" s="2"/>
      <c r="F158" s="2"/>
      <c r="H158" s="24"/>
      <c r="I158" s="34"/>
      <c r="J158" s="34"/>
      <c r="K158" s="34"/>
      <c r="L158" s="34"/>
      <c r="M158" s="34"/>
      <c r="N158" s="34"/>
      <c r="O158" s="34"/>
      <c r="P158" s="34"/>
    </row>
    <row r="159" spans="1:16" x14ac:dyDescent="0.25">
      <c r="A159" s="27"/>
      <c r="B159" s="21"/>
      <c r="C159" s="27"/>
      <c r="D159" s="27"/>
      <c r="E159" s="2" t="s">
        <v>17</v>
      </c>
      <c r="F159" s="2" t="s">
        <v>261</v>
      </c>
      <c r="H159" s="35"/>
      <c r="I159" s="34"/>
      <c r="J159" s="97">
        <f>2.5*0.67/1000000</f>
        <v>1.6750000000000001E-6</v>
      </c>
      <c r="K159" s="34"/>
      <c r="L159" s="34"/>
      <c r="M159" s="34"/>
      <c r="N159" s="34"/>
      <c r="O159" s="34"/>
      <c r="P159" s="34"/>
    </row>
    <row r="160" spans="1:16" x14ac:dyDescent="0.25">
      <c r="A160" s="20" t="s">
        <v>96</v>
      </c>
      <c r="B160" s="21" t="s">
        <v>97</v>
      </c>
      <c r="C160" s="27"/>
      <c r="D160" s="27"/>
      <c r="E160" s="2"/>
      <c r="F160" s="2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5">
      <c r="A161" s="27"/>
      <c r="B161" s="21" t="s">
        <v>94</v>
      </c>
      <c r="C161" s="27"/>
      <c r="D161" s="27"/>
      <c r="E161" s="2"/>
      <c r="F161" s="2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5">
      <c r="A162" s="27"/>
      <c r="B162" s="21"/>
      <c r="C162" s="27"/>
      <c r="D162" s="27"/>
      <c r="E162" s="2" t="s">
        <v>17</v>
      </c>
      <c r="F162" s="2" t="s">
        <v>261</v>
      </c>
      <c r="H162" s="35"/>
      <c r="I162" s="34"/>
      <c r="J162" s="34"/>
      <c r="K162" s="34"/>
      <c r="L162" s="34"/>
      <c r="M162" s="34"/>
      <c r="N162" s="34"/>
      <c r="O162" s="34"/>
      <c r="P162" s="34"/>
    </row>
    <row r="163" spans="1:16" x14ac:dyDescent="0.25">
      <c r="A163" s="27"/>
      <c r="B163" s="21" t="s">
        <v>95</v>
      </c>
      <c r="C163" s="27"/>
      <c r="D163" s="27"/>
      <c r="E163" s="2"/>
      <c r="F163" s="2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5">
      <c r="A164" s="27"/>
      <c r="B164" s="21"/>
      <c r="C164" s="27"/>
      <c r="D164" s="27"/>
      <c r="E164" s="2" t="s">
        <v>17</v>
      </c>
      <c r="F164" s="2" t="s">
        <v>261</v>
      </c>
      <c r="H164" s="35"/>
      <c r="I164" s="34"/>
      <c r="J164" s="34"/>
      <c r="K164" s="34"/>
      <c r="L164" s="34"/>
      <c r="M164" s="34"/>
      <c r="N164" s="34"/>
      <c r="O164" s="34"/>
      <c r="P164" s="34"/>
    </row>
    <row r="165" spans="1:16" s="27" customFormat="1" x14ac:dyDescent="0.25">
      <c r="A165" s="20" t="s">
        <v>148</v>
      </c>
      <c r="B165" s="21" t="s">
        <v>153</v>
      </c>
      <c r="E165" s="2"/>
      <c r="F165" s="2"/>
      <c r="H165" s="35"/>
      <c r="I165" s="34"/>
      <c r="J165" s="34"/>
      <c r="K165" s="34"/>
      <c r="L165" s="34"/>
      <c r="M165" s="34"/>
      <c r="N165" s="34"/>
      <c r="O165" s="34"/>
      <c r="P165" s="34"/>
    </row>
    <row r="166" spans="1:16" s="27" customFormat="1" x14ac:dyDescent="0.25">
      <c r="A166" s="20" t="s">
        <v>152</v>
      </c>
      <c r="B166" s="21" t="s">
        <v>73</v>
      </c>
      <c r="E166" s="2"/>
      <c r="F166" s="2"/>
      <c r="H166" s="35"/>
      <c r="I166" s="34"/>
      <c r="J166" s="34"/>
      <c r="K166" s="34"/>
      <c r="L166" s="34"/>
      <c r="M166" s="34"/>
      <c r="N166" s="34"/>
      <c r="O166" s="34"/>
      <c r="P166" s="34"/>
    </row>
    <row r="167" spans="1:16" s="27" customFormat="1" x14ac:dyDescent="0.25">
      <c r="A167" s="20" t="s">
        <v>114</v>
      </c>
      <c r="B167" s="21" t="s">
        <v>117</v>
      </c>
      <c r="C167" s="21"/>
      <c r="E167" s="2"/>
      <c r="F167" s="2"/>
      <c r="H167" s="34"/>
      <c r="I167" s="34"/>
      <c r="J167" s="34"/>
      <c r="K167" s="34"/>
      <c r="L167" s="34"/>
      <c r="M167" s="34"/>
      <c r="N167" s="34"/>
      <c r="O167" s="34"/>
      <c r="P167" s="34"/>
    </row>
    <row r="168" spans="1:16" s="27" customFormat="1" x14ac:dyDescent="0.25">
      <c r="A168" s="20" t="s">
        <v>115</v>
      </c>
      <c r="B168" s="21" t="s">
        <v>116</v>
      </c>
      <c r="C168" s="21"/>
      <c r="E168" s="2"/>
      <c r="F168" s="2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 s="27" customFormat="1" x14ac:dyDescent="0.25">
      <c r="A169" s="20" t="s">
        <v>118</v>
      </c>
      <c r="B169" s="21" t="s">
        <v>124</v>
      </c>
      <c r="E169" s="2"/>
      <c r="F169" s="2"/>
      <c r="H169" s="34"/>
      <c r="I169" s="34"/>
      <c r="J169" s="34"/>
      <c r="K169" s="34"/>
      <c r="L169" s="34"/>
      <c r="M169" s="34"/>
      <c r="N169" s="34"/>
      <c r="O169" s="34"/>
      <c r="P169" s="34"/>
    </row>
    <row r="170" spans="1:16" s="27" customFormat="1" x14ac:dyDescent="0.25">
      <c r="A170" s="20"/>
      <c r="B170" s="21"/>
      <c r="E170" s="2" t="s">
        <v>157</v>
      </c>
      <c r="F170" s="2"/>
      <c r="H170" s="35"/>
      <c r="I170" s="99">
        <f>SQRT(1.7*10^-3*1*10^-4)+SQRT(1.5*10^-1*9*10^-3)+SQRT(3.2*10^-5*1.9*10^-6)</f>
        <v>3.7162454139785285E-2</v>
      </c>
      <c r="J170" s="99">
        <f>SQRT(3.3*10^-5*5.6*10^-4)+SQRT(5.1*10^-5*8.5*10^-4)+SQRT(1.1*10^-4*1.8*10^-3)</f>
        <v>7.8911970110604141E-4</v>
      </c>
      <c r="K170" s="99">
        <f>SQRT(6.8*10^-8*1.1*10^-6)</f>
        <v>2.7349588662354686E-7</v>
      </c>
      <c r="L170" s="31"/>
      <c r="M170" s="31"/>
      <c r="N170" s="99">
        <f>SQRT(8.7*10^-7*1.5*10^-5)+SQRT(1.2*10^-5*2*10^-4)+SQRT(1.7*10^-5*2.8*10^-4)</f>
        <v>1.2159502647194262E-4</v>
      </c>
      <c r="O170" s="34"/>
      <c r="P170" s="34"/>
    </row>
    <row r="171" spans="1:16" s="27" customFormat="1" x14ac:dyDescent="0.25">
      <c r="A171" s="20"/>
      <c r="B171" s="21"/>
      <c r="E171" s="2" t="s">
        <v>158</v>
      </c>
      <c r="F171" s="2"/>
      <c r="H171" s="35"/>
      <c r="I171" s="99">
        <f>SQRT(1.7*10^-3*1*10^-4)+SQRT(1.5*10^-1*9*10^-3)+SQRT(3.2*10^-5*1.9*10^-6)</f>
        <v>3.7162454139785285E-2</v>
      </c>
      <c r="J171" s="99">
        <f>SQRT(3.3*10^-5*5.6*10^-4)+SQRT(5.1*10^-5*8.5*10^-4)+SQRT(1.1*10^-4*1.8*10^-3)</f>
        <v>7.8911970110604141E-4</v>
      </c>
      <c r="K171" s="99">
        <f>SQRT(6.8*10^-8*1.1*10^-6)</f>
        <v>2.7349588662354686E-7</v>
      </c>
      <c r="L171" s="31"/>
      <c r="M171" s="31"/>
      <c r="N171" s="99">
        <f>SQRT(8.7*10^-7*1.5*10^-5)+SQRT(1.2*10^-5*2*10^-4)+SQRT(1.7*10^-5*2.8*10^-4)</f>
        <v>1.2159502647194262E-4</v>
      </c>
      <c r="O171" s="34"/>
      <c r="P171" s="34"/>
    </row>
    <row r="172" spans="1:16" s="27" customFormat="1" x14ac:dyDescent="0.25">
      <c r="A172" s="20"/>
      <c r="B172" s="21"/>
      <c r="E172" s="2" t="s">
        <v>159</v>
      </c>
      <c r="F172" s="2"/>
      <c r="H172" s="35"/>
      <c r="I172" s="99">
        <f>SQRT(1.7*10^-3*1*10^-4)+SQRT(1.5*10^-1*9*10^-3)+SQRT(3.2*10^-5*1.9*10^-6)</f>
        <v>3.7162454139785285E-2</v>
      </c>
      <c r="J172" s="99">
        <f>SQRT(3.3*10^-5*5.6*10^-4)+SQRT(5.1*10^-5*8.5*10^-4)+SQRT(1.1*10^-4*1.8*10^-3)</f>
        <v>7.8911970110604141E-4</v>
      </c>
      <c r="K172" s="99">
        <f>SQRT(6.8*10^-8*1.1*10^-6)</f>
        <v>2.7349588662354686E-7</v>
      </c>
      <c r="L172" s="31"/>
      <c r="M172" s="31"/>
      <c r="N172" s="99">
        <f>SQRT(8.7*10^-7*1.5*10^-5)+SQRT(1.2*10^-5*2*10^-4)+SQRT(1.7*10^-5*2.8*10^-4)</f>
        <v>1.2159502647194262E-4</v>
      </c>
      <c r="O172" s="34"/>
      <c r="P172" s="34"/>
    </row>
    <row r="173" spans="1:16" s="27" customFormat="1" x14ac:dyDescent="0.25">
      <c r="A173" s="20" t="s">
        <v>119</v>
      </c>
      <c r="B173" s="21" t="s">
        <v>125</v>
      </c>
      <c r="E173" s="2"/>
      <c r="F173" s="2"/>
      <c r="H173" s="34"/>
      <c r="I173" s="34"/>
      <c r="J173" s="34"/>
      <c r="K173" s="34"/>
      <c r="L173" s="34"/>
      <c r="M173" s="34"/>
      <c r="N173" s="34"/>
      <c r="O173" s="34"/>
      <c r="P173" s="34"/>
    </row>
    <row r="174" spans="1:16" s="27" customFormat="1" x14ac:dyDescent="0.25">
      <c r="A174" s="20"/>
      <c r="B174" s="21"/>
      <c r="E174" s="2" t="s">
        <v>17</v>
      </c>
      <c r="F174" s="2" t="s">
        <v>127</v>
      </c>
      <c r="H174" s="35"/>
      <c r="I174" s="99">
        <f>SQRT(1.1*10^-7*4.3*10^-3)</f>
        <v>2.1748563170931546E-5</v>
      </c>
      <c r="J174" s="99">
        <f>SQRT(1.5*10^-6*6*10^-2)</f>
        <v>2.9999999999999997E-4</v>
      </c>
      <c r="K174" s="31"/>
      <c r="L174" s="31"/>
      <c r="M174" s="31"/>
      <c r="N174" s="99">
        <f>SQRT(1.8*10^-6*7.5*10^-2)</f>
        <v>3.6742346141747673E-4</v>
      </c>
      <c r="O174" s="34"/>
      <c r="P174" s="34"/>
    </row>
    <row r="175" spans="1:16" s="27" customFormat="1" x14ac:dyDescent="0.25">
      <c r="A175" s="20" t="s">
        <v>120</v>
      </c>
      <c r="B175" s="21" t="s">
        <v>18</v>
      </c>
      <c r="E175" s="2"/>
      <c r="F175" s="2"/>
      <c r="H175" s="34"/>
      <c r="I175" s="34"/>
      <c r="J175" s="34"/>
      <c r="K175" s="34"/>
      <c r="L175" s="34"/>
      <c r="M175" s="34"/>
      <c r="N175" s="34"/>
      <c r="O175" s="34"/>
      <c r="P175" s="34"/>
    </row>
    <row r="176" spans="1:16" s="27" customFormat="1" x14ac:dyDescent="0.25">
      <c r="A176" s="20"/>
      <c r="B176" s="21"/>
      <c r="E176" s="2" t="s">
        <v>144</v>
      </c>
      <c r="F176" s="2" t="s">
        <v>127</v>
      </c>
      <c r="H176" s="35"/>
      <c r="I176" s="100"/>
      <c r="J176" s="104">
        <f>0.745*'Factores generales'!H12*'Factores generales'!F12/1000000</f>
        <v>2.7889447500000001E-5</v>
      </c>
      <c r="K176" s="100"/>
      <c r="L176" s="100"/>
      <c r="M176" s="100"/>
      <c r="N176" s="100"/>
      <c r="O176" s="34"/>
      <c r="P176" s="34"/>
    </row>
    <row r="177" spans="1:16" s="27" customFormat="1" x14ac:dyDescent="0.25">
      <c r="A177" s="20"/>
      <c r="B177" s="21"/>
      <c r="E177" s="2" t="s">
        <v>145</v>
      </c>
      <c r="F177" s="2" t="s">
        <v>127</v>
      </c>
      <c r="H177" s="35"/>
      <c r="I177" s="99">
        <f>4.9*10^(-7)</f>
        <v>4.8999999999999997E-7</v>
      </c>
      <c r="J177" s="99">
        <f>5.4*10^(-6)</f>
        <v>5.4E-6</v>
      </c>
      <c r="K177" s="31"/>
      <c r="L177" s="31"/>
      <c r="M177" s="31"/>
      <c r="N177" s="99">
        <f>5.4*10^(-5)</f>
        <v>5.4000000000000005E-5</v>
      </c>
      <c r="O177" s="34"/>
      <c r="P177" s="34"/>
    </row>
    <row r="178" spans="1:16" s="27" customFormat="1" x14ac:dyDescent="0.25">
      <c r="A178" s="20" t="s">
        <v>121</v>
      </c>
      <c r="B178" s="21" t="s">
        <v>161</v>
      </c>
      <c r="E178" s="2"/>
      <c r="F178" s="2"/>
      <c r="H178" s="34"/>
      <c r="I178" s="34"/>
      <c r="J178" s="34"/>
      <c r="K178" s="34"/>
      <c r="L178" s="34"/>
      <c r="M178" s="34"/>
      <c r="N178" s="34"/>
      <c r="O178" s="34"/>
      <c r="P178" s="34"/>
    </row>
    <row r="179" spans="1:16" s="27" customFormat="1" x14ac:dyDescent="0.25">
      <c r="A179" s="20"/>
      <c r="B179" s="21" t="s">
        <v>154</v>
      </c>
      <c r="E179" s="2"/>
      <c r="F179" s="2"/>
      <c r="H179" s="34"/>
      <c r="I179" s="34"/>
      <c r="J179" s="34"/>
      <c r="K179" s="34"/>
      <c r="L179" s="34"/>
      <c r="M179" s="34"/>
      <c r="N179" s="34"/>
      <c r="O179" s="34"/>
      <c r="P179" s="34"/>
    </row>
    <row r="180" spans="1:16" s="27" customFormat="1" x14ac:dyDescent="0.25">
      <c r="A180" s="20"/>
      <c r="B180" s="21"/>
      <c r="E180" s="2" t="s">
        <v>128</v>
      </c>
      <c r="F180" s="2" t="s">
        <v>127</v>
      </c>
      <c r="H180" s="35"/>
      <c r="I180" s="99"/>
      <c r="J180" s="99">
        <f>SQRT(2.6*10^-6*41*10^-6)</f>
        <v>1.0324727599312245E-5</v>
      </c>
      <c r="K180" s="101"/>
      <c r="L180" s="101">
        <f>0.05/1000</f>
        <v>5.0000000000000002E-5</v>
      </c>
      <c r="M180" s="101">
        <f>0.08/1000</f>
        <v>8.0000000000000007E-5</v>
      </c>
      <c r="N180" s="99">
        <f>0.0013</f>
        <v>1.2999999999999999E-3</v>
      </c>
      <c r="O180" s="101">
        <f>0.8/1000</f>
        <v>8.0000000000000004E-4</v>
      </c>
      <c r="P180" s="34"/>
    </row>
    <row r="181" spans="1:16" s="27" customFormat="1" x14ac:dyDescent="0.25">
      <c r="A181" s="20"/>
      <c r="B181" s="21" t="s">
        <v>160</v>
      </c>
      <c r="E181" s="2"/>
      <c r="F181" s="2"/>
      <c r="H181" s="35"/>
      <c r="I181" s="34"/>
      <c r="J181" s="34"/>
      <c r="K181" s="34"/>
      <c r="L181" s="34"/>
      <c r="M181" s="34"/>
      <c r="N181" s="36"/>
      <c r="O181" s="34"/>
      <c r="P181" s="34"/>
    </row>
    <row r="182" spans="1:16" s="27" customFormat="1" x14ac:dyDescent="0.25">
      <c r="A182" s="20"/>
      <c r="B182" s="21"/>
      <c r="E182" s="2" t="s">
        <v>128</v>
      </c>
      <c r="F182" s="2" t="s">
        <v>127</v>
      </c>
      <c r="H182" s="35"/>
      <c r="I182" s="34"/>
      <c r="J182" s="105">
        <f>SQRT(0.02*0.26)*'Factores generales'!H12*'Factores generales'!F12/1000000</f>
        <v>2.6995122954526438E-6</v>
      </c>
      <c r="K182" s="34"/>
      <c r="L182" s="34"/>
      <c r="M182" s="34"/>
      <c r="N182" s="34"/>
      <c r="O182" s="34"/>
      <c r="P182" s="34"/>
    </row>
    <row r="183" spans="1:16" s="27" customFormat="1" x14ac:dyDescent="0.25">
      <c r="A183" s="20" t="s">
        <v>122</v>
      </c>
      <c r="B183" s="21" t="s">
        <v>126</v>
      </c>
      <c r="E183" s="2"/>
      <c r="F183" s="2"/>
      <c r="H183" s="34"/>
      <c r="I183" s="34"/>
      <c r="J183" s="34"/>
      <c r="K183" s="34"/>
      <c r="L183" s="34"/>
      <c r="M183" s="34"/>
      <c r="N183" s="34"/>
      <c r="O183" s="34"/>
      <c r="P183" s="34"/>
    </row>
    <row r="184" spans="1:16" s="27" customFormat="1" x14ac:dyDescent="0.25">
      <c r="A184" s="20"/>
      <c r="B184" s="21"/>
      <c r="E184" s="2" t="s">
        <v>98</v>
      </c>
      <c r="F184" t="s">
        <v>270</v>
      </c>
      <c r="H184" s="35"/>
      <c r="I184" s="34"/>
      <c r="J184" s="34"/>
      <c r="K184" s="34"/>
      <c r="L184" s="34"/>
      <c r="M184" s="34"/>
      <c r="N184" s="102">
        <v>2.2000000000000001E-3</v>
      </c>
      <c r="O184" s="34"/>
      <c r="P184" s="34"/>
    </row>
    <row r="185" spans="1:16" s="27" customFormat="1" x14ac:dyDescent="0.25">
      <c r="A185" s="20"/>
      <c r="B185" s="21"/>
      <c r="E185" s="2" t="s">
        <v>98</v>
      </c>
      <c r="F185" t="s">
        <v>162</v>
      </c>
      <c r="H185" s="35"/>
      <c r="I185" s="102">
        <f>4.3*10^-4</f>
        <v>4.2999999999999999E-4</v>
      </c>
      <c r="J185" s="34"/>
      <c r="K185" s="34"/>
      <c r="L185" s="102">
        <f>2.2*10^-9</f>
        <v>2.2000000000000003E-9</v>
      </c>
      <c r="M185" s="34"/>
      <c r="N185" s="34"/>
      <c r="O185" s="34"/>
      <c r="P185" s="34"/>
    </row>
    <row r="186" spans="1:16" s="27" customFormat="1" x14ac:dyDescent="0.25">
      <c r="A186" s="20" t="s">
        <v>123</v>
      </c>
      <c r="B186" s="21" t="s">
        <v>73</v>
      </c>
      <c r="E186" s="2"/>
      <c r="F186" s="2"/>
      <c r="H186" s="34"/>
      <c r="I186" s="34"/>
      <c r="J186" s="34"/>
      <c r="K186" s="34"/>
      <c r="L186" s="34"/>
      <c r="M186" s="34"/>
      <c r="N186" s="34"/>
      <c r="O186" s="34"/>
      <c r="P186" s="34"/>
    </row>
    <row r="187" spans="1:16" s="27" customFormat="1" x14ac:dyDescent="0.25">
      <c r="A187" s="20" t="s">
        <v>129</v>
      </c>
      <c r="B187" s="28" t="s">
        <v>103</v>
      </c>
      <c r="C187" s="21"/>
      <c r="E187" s="21"/>
      <c r="F187" s="2"/>
      <c r="H187" s="34"/>
      <c r="I187" s="34"/>
      <c r="J187" s="34"/>
      <c r="K187" s="34"/>
      <c r="L187" s="34"/>
      <c r="M187" s="34"/>
      <c r="N187" s="34"/>
      <c r="O187" s="34"/>
      <c r="P187" s="34"/>
    </row>
    <row r="188" spans="1:16" s="27" customFormat="1" x14ac:dyDescent="0.25">
      <c r="A188" s="20" t="s">
        <v>130</v>
      </c>
      <c r="B188" s="28" t="s">
        <v>133</v>
      </c>
      <c r="C188" s="21"/>
      <c r="E188" s="21"/>
      <c r="F188" s="2"/>
      <c r="H188" s="34"/>
      <c r="I188" s="34"/>
      <c r="J188" s="34"/>
      <c r="K188" s="34"/>
      <c r="L188" s="34"/>
      <c r="M188" s="34"/>
      <c r="N188" s="34"/>
      <c r="O188" s="34"/>
      <c r="P188" s="34"/>
    </row>
    <row r="189" spans="1:16" s="27" customFormat="1" x14ac:dyDescent="0.25">
      <c r="A189" s="20"/>
      <c r="B189" s="21" t="s">
        <v>17</v>
      </c>
      <c r="E189" s="21"/>
      <c r="F189" s="2"/>
      <c r="H189" s="34"/>
      <c r="I189" s="34"/>
      <c r="J189" s="34"/>
      <c r="K189" s="34"/>
      <c r="L189" s="34"/>
      <c r="M189" s="34"/>
      <c r="N189" s="34"/>
      <c r="O189" s="34"/>
      <c r="P189" s="34"/>
    </row>
    <row r="190" spans="1:16" s="27" customFormat="1" x14ac:dyDescent="0.25">
      <c r="A190" s="20"/>
      <c r="B190" s="21"/>
      <c r="E190" s="2" t="s">
        <v>17</v>
      </c>
      <c r="F190" t="s">
        <v>8</v>
      </c>
      <c r="H190" s="35"/>
      <c r="I190" s="99">
        <f>SQRT(1.4*10^-5*1.8*10^-4)</f>
        <v>5.019960159204453E-5</v>
      </c>
      <c r="J190" s="99">
        <f>SQRT(3.8*10^-4*2.4*10^-2)</f>
        <v>3.0199337741082998E-3</v>
      </c>
      <c r="K190" s="31"/>
      <c r="L190" s="31"/>
      <c r="M190" s="31"/>
      <c r="N190" s="99">
        <f>SQRT(9.1*10^-5*1.2*10^-3)</f>
        <v>3.304542328371661E-4</v>
      </c>
      <c r="O190" s="34"/>
      <c r="P190" s="34"/>
    </row>
    <row r="191" spans="1:16" s="27" customFormat="1" x14ac:dyDescent="0.25">
      <c r="A191" s="20"/>
      <c r="B191" s="21" t="s">
        <v>155</v>
      </c>
      <c r="E191" s="2"/>
      <c r="F191" s="2"/>
      <c r="H191" s="35"/>
      <c r="I191" s="34"/>
      <c r="J191" s="34"/>
      <c r="K191" s="34"/>
      <c r="L191" s="34"/>
      <c r="M191" s="34"/>
      <c r="N191" s="34"/>
      <c r="O191" s="34"/>
      <c r="P191" s="34"/>
    </row>
    <row r="192" spans="1:16" s="27" customFormat="1" x14ac:dyDescent="0.25">
      <c r="A192" s="20"/>
      <c r="B192" s="21"/>
      <c r="E192" s="2" t="s">
        <v>17</v>
      </c>
      <c r="F192" t="s">
        <v>8</v>
      </c>
      <c r="H192" s="35"/>
      <c r="I192" s="99">
        <f>SQRT(1.2*10^-5*2.8*10^-5)</f>
        <v>1.8330302779823358E-5</v>
      </c>
      <c r="J192" s="99">
        <f>SQRT(1.5*10^-4*3.5*10^-4)</f>
        <v>2.2912878474779202E-4</v>
      </c>
      <c r="K192" s="31"/>
      <c r="L192" s="31"/>
      <c r="M192" s="31"/>
      <c r="N192" s="99">
        <f>SQRT(1.4*10^-4*3.2*10^-4)</f>
        <v>2.1166010488516725E-4</v>
      </c>
      <c r="O192" s="34"/>
      <c r="P192" s="34"/>
    </row>
    <row r="193" spans="1:16" s="27" customFormat="1" x14ac:dyDescent="0.25">
      <c r="A193" s="20" t="s">
        <v>131</v>
      </c>
      <c r="B193" s="28" t="s">
        <v>134</v>
      </c>
      <c r="E193" s="2"/>
      <c r="F193" s="2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1:16" s="27" customFormat="1" x14ac:dyDescent="0.25">
      <c r="A194" s="20"/>
      <c r="B194" s="21" t="s">
        <v>163</v>
      </c>
      <c r="E194" s="2"/>
      <c r="F194" s="2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1:16" s="27" customFormat="1" x14ac:dyDescent="0.25">
      <c r="A195" s="20"/>
      <c r="B195" s="21"/>
      <c r="E195" s="2" t="s">
        <v>164</v>
      </c>
      <c r="F195" t="s">
        <v>8</v>
      </c>
      <c r="H195" s="35"/>
      <c r="I195" s="99">
        <f>SQRT(8.8*10^-7*2*10^-6)+SQRT(1.1*10^-7*2.6*10^-7)</f>
        <v>1.4957652613950378E-6</v>
      </c>
      <c r="J195" s="99">
        <f>SQRT(16.6*10^-5*1.1*10^-3)+SQRT(2.5*10^-5*5.8*10^-5)</f>
        <v>4.6539607791374954E-4</v>
      </c>
      <c r="K195" s="31"/>
      <c r="L195" s="31"/>
      <c r="M195" s="31"/>
      <c r="N195" s="99">
        <f>SQRT(7*10^-6*1.6*10^-5)+SQRT(3.6*10^-7*8.3*10^-7)</f>
        <v>1.1129631259007021E-5</v>
      </c>
      <c r="O195" s="34"/>
      <c r="P195" s="34"/>
    </row>
    <row r="196" spans="1:16" s="27" customFormat="1" x14ac:dyDescent="0.25">
      <c r="A196" s="20"/>
      <c r="B196" s="21" t="s">
        <v>156</v>
      </c>
      <c r="E196" s="2"/>
      <c r="F196"/>
      <c r="H196" s="35"/>
      <c r="I196" s="34"/>
      <c r="J196" s="34"/>
      <c r="K196" s="34"/>
      <c r="L196" s="34"/>
      <c r="M196" s="34"/>
      <c r="N196" s="34"/>
      <c r="O196" s="34"/>
      <c r="P196" s="34"/>
    </row>
    <row r="197" spans="1:16" s="27" customFormat="1" x14ac:dyDescent="0.25">
      <c r="A197" s="20"/>
      <c r="B197" s="21"/>
      <c r="E197" s="2" t="s">
        <v>165</v>
      </c>
      <c r="F197" t="s">
        <v>8</v>
      </c>
      <c r="H197" s="35"/>
      <c r="I197" s="99">
        <f>SQRT(5.1*10^-5*1.4*10^-4)</f>
        <v>8.4498520697110432E-5</v>
      </c>
      <c r="J197" s="99">
        <f>SQRT(1.1*10^-3*2.5*10^-3)</f>
        <v>1.6583123951777001E-3</v>
      </c>
      <c r="K197" s="31"/>
      <c r="L197" s="31"/>
      <c r="M197" s="31"/>
      <c r="N197" s="99">
        <f>SQRT(1.6*10^-5*3.6*10^-5)</f>
        <v>2.4000000000000004E-5</v>
      </c>
      <c r="O197" s="34"/>
      <c r="P197" s="34"/>
    </row>
    <row r="198" spans="1:16" x14ac:dyDescent="0.25">
      <c r="A198" s="20" t="s">
        <v>132</v>
      </c>
      <c r="B198" s="28" t="s">
        <v>135</v>
      </c>
      <c r="D198" s="11"/>
      <c r="E198"/>
      <c r="F198"/>
      <c r="H198" s="24"/>
      <c r="I198" s="24"/>
      <c r="J198" s="24"/>
      <c r="K198" s="24"/>
      <c r="L198" s="24"/>
      <c r="M198" s="24"/>
      <c r="N198" s="24"/>
      <c r="O198" s="24"/>
      <c r="P198" s="24"/>
    </row>
    <row r="199" spans="1:16" x14ac:dyDescent="0.25">
      <c r="B199" s="1" t="s">
        <v>111</v>
      </c>
      <c r="D199" s="11"/>
      <c r="E199"/>
      <c r="F199"/>
      <c r="H199" s="24"/>
      <c r="I199" s="24"/>
      <c r="J199" s="24"/>
      <c r="K199" s="24"/>
      <c r="L199" s="24"/>
      <c r="M199" s="24"/>
      <c r="N199" s="24"/>
      <c r="O199" s="24"/>
      <c r="P199" s="24"/>
    </row>
    <row r="200" spans="1:16" x14ac:dyDescent="0.25">
      <c r="A200" s="20"/>
      <c r="D200" s="11"/>
      <c r="E200" s="2" t="s">
        <v>98</v>
      </c>
      <c r="F200" t="s">
        <v>8</v>
      </c>
      <c r="H200" s="35"/>
      <c r="I200" s="34"/>
      <c r="J200" s="106">
        <f>175/2*'Factores generales'!H25/1000000</f>
        <v>3.0198E-3</v>
      </c>
      <c r="K200" s="34"/>
      <c r="L200" s="34"/>
      <c r="M200" s="34"/>
      <c r="N200" s="34"/>
      <c r="O200" s="34"/>
      <c r="P200" s="34"/>
    </row>
    <row r="201" spans="1:16" x14ac:dyDescent="0.25">
      <c r="A201" s="20"/>
      <c r="B201" s="1" t="s">
        <v>143</v>
      </c>
      <c r="D201" s="11"/>
      <c r="E201"/>
      <c r="F201"/>
      <c r="H201" s="24"/>
      <c r="I201" s="24"/>
      <c r="J201" s="24"/>
      <c r="K201" s="24"/>
      <c r="L201" s="24"/>
      <c r="M201" s="24"/>
      <c r="N201" s="24"/>
      <c r="O201" s="24"/>
      <c r="P201" s="24"/>
    </row>
    <row r="202" spans="1:16" x14ac:dyDescent="0.25">
      <c r="A202" s="20"/>
      <c r="D202" s="11"/>
      <c r="E202" s="2" t="s">
        <v>98</v>
      </c>
      <c r="F202" t="s">
        <v>8</v>
      </c>
      <c r="H202" s="35"/>
      <c r="I202" s="34"/>
      <c r="J202" s="106">
        <f>87/2*'Factores generales'!H25/1000000</f>
        <v>1.5012719999999999E-3</v>
      </c>
      <c r="K202" s="34"/>
      <c r="L202" s="34"/>
      <c r="M202" s="34"/>
      <c r="N202" s="34"/>
      <c r="O202" s="34"/>
      <c r="P202" s="34"/>
    </row>
    <row r="203" spans="1:16" x14ac:dyDescent="0.25">
      <c r="A203" s="20" t="s">
        <v>136</v>
      </c>
      <c r="B203" s="28" t="s">
        <v>138</v>
      </c>
      <c r="D203" s="11"/>
      <c r="E203"/>
      <c r="F203"/>
      <c r="H203" s="24"/>
      <c r="I203" s="24"/>
      <c r="J203" s="24"/>
      <c r="K203" s="24"/>
      <c r="L203" s="24"/>
      <c r="M203" s="24"/>
      <c r="N203" s="24"/>
      <c r="O203" s="24"/>
      <c r="P203" s="24"/>
    </row>
    <row r="204" spans="1:16" x14ac:dyDescent="0.25">
      <c r="A204" s="20" t="s">
        <v>137</v>
      </c>
      <c r="B204" s="28" t="s">
        <v>116</v>
      </c>
      <c r="D204" s="11"/>
      <c r="E204"/>
      <c r="F204"/>
      <c r="H204" s="24"/>
      <c r="I204" s="24"/>
      <c r="J204" s="24"/>
      <c r="K204" s="24"/>
      <c r="L204" s="24"/>
      <c r="M204" s="24"/>
      <c r="N204" s="24"/>
      <c r="O204" s="24"/>
      <c r="P204" s="24"/>
    </row>
    <row r="205" spans="1:16" x14ac:dyDescent="0.25">
      <c r="A205" s="20"/>
      <c r="B205" s="28" t="s">
        <v>112</v>
      </c>
      <c r="D205" s="11"/>
      <c r="E205"/>
      <c r="F205"/>
      <c r="H205" s="24"/>
      <c r="I205" s="24"/>
      <c r="J205" s="24"/>
      <c r="K205" s="24"/>
      <c r="L205" s="24"/>
      <c r="M205" s="24"/>
      <c r="N205" s="24"/>
      <c r="O205" s="24"/>
      <c r="P205" s="24"/>
    </row>
    <row r="206" spans="1:16" x14ac:dyDescent="0.25">
      <c r="A206" s="20"/>
      <c r="D206" s="11"/>
      <c r="E206" s="2" t="s">
        <v>17</v>
      </c>
      <c r="F206" s="2" t="s">
        <v>127</v>
      </c>
      <c r="H206" s="35"/>
      <c r="I206" s="99">
        <f>SQRT(9.5*10^-5*1.3*10^-4)</f>
        <v>1.1113055385446435E-4</v>
      </c>
      <c r="J206" s="99">
        <f>SQRT(7.2*10^-4*9.9*10^-4)</f>
        <v>8.4427483676821733E-4</v>
      </c>
      <c r="K206" s="99"/>
      <c r="L206" s="99"/>
      <c r="M206" s="99"/>
      <c r="N206" s="99">
        <f>SQRT(4.3*10^-4*5.9*10^-4)</f>
        <v>5.0368641037852114E-4</v>
      </c>
      <c r="O206" s="34"/>
      <c r="P206" s="34"/>
    </row>
    <row r="207" spans="1:16" x14ac:dyDescent="0.25">
      <c r="A207" s="20"/>
      <c r="B207" s="28" t="s">
        <v>113</v>
      </c>
      <c r="D207" s="11"/>
      <c r="E207"/>
      <c r="F207"/>
      <c r="H207" s="24"/>
      <c r="I207" s="24"/>
      <c r="J207" s="24"/>
      <c r="K207" s="24"/>
      <c r="L207" s="24"/>
      <c r="M207" s="24"/>
      <c r="N207" s="24"/>
      <c r="O207" s="24"/>
      <c r="P207" s="24"/>
    </row>
    <row r="208" spans="1:16" x14ac:dyDescent="0.25">
      <c r="A208" s="20"/>
      <c r="D208" s="11"/>
      <c r="E208" s="2" t="s">
        <v>17</v>
      </c>
      <c r="F208" s="2" t="s">
        <v>127</v>
      </c>
      <c r="H208" s="35"/>
      <c r="I208" s="99">
        <f>SQRT(4.1*10^-2*5.6*10^-2)</f>
        <v>4.7916594202843749E-2</v>
      </c>
      <c r="J208" s="99">
        <f>SQRT(2.5*10^-5*3.4*10^-5)</f>
        <v>2.9154759474226505E-5</v>
      </c>
      <c r="K208" s="99">
        <f>SQRT(6.4*10^-7*8.8*10^-7)</f>
        <v>7.5046652157174878E-7</v>
      </c>
      <c r="L208" s="99"/>
      <c r="M208" s="99"/>
      <c r="N208" s="99">
        <f>SQRT(2.1*10^-5*2.9*10^-5)</f>
        <v>2.4677925358506134E-5</v>
      </c>
      <c r="O208" s="34"/>
      <c r="P208" s="34"/>
    </row>
    <row r="209" spans="1:16" x14ac:dyDescent="0.25">
      <c r="A209" s="20" t="s">
        <v>139</v>
      </c>
      <c r="B209" s="28" t="s">
        <v>141</v>
      </c>
      <c r="D209" s="11"/>
      <c r="E209"/>
      <c r="F209"/>
      <c r="H209" s="24"/>
      <c r="I209" s="24"/>
      <c r="J209" s="24"/>
      <c r="K209" s="24"/>
      <c r="L209" s="24"/>
      <c r="M209" s="24"/>
      <c r="N209" s="24"/>
      <c r="O209" s="24"/>
      <c r="P209" s="24"/>
    </row>
    <row r="210" spans="1:16" x14ac:dyDescent="0.25">
      <c r="A210" s="20"/>
      <c r="B210" s="28" t="s">
        <v>112</v>
      </c>
      <c r="D210" s="11"/>
      <c r="E210"/>
      <c r="F210"/>
      <c r="H210" s="24"/>
      <c r="I210" s="24"/>
      <c r="J210" s="24"/>
      <c r="K210" s="24"/>
      <c r="L210" s="24"/>
      <c r="M210" s="24"/>
      <c r="N210" s="24"/>
      <c r="O210" s="24"/>
      <c r="P210" s="24"/>
    </row>
    <row r="211" spans="1:16" x14ac:dyDescent="0.25">
      <c r="A211" s="20"/>
      <c r="B211" s="28"/>
      <c r="C211" s="1" t="s">
        <v>155</v>
      </c>
      <c r="D211" s="11"/>
      <c r="E211" s="1"/>
      <c r="F211"/>
      <c r="H211" s="24"/>
      <c r="I211" s="24"/>
      <c r="J211" s="24"/>
      <c r="K211" s="24"/>
      <c r="L211" s="24"/>
      <c r="M211" s="24"/>
      <c r="N211" s="24"/>
      <c r="O211" s="24"/>
      <c r="P211" s="24"/>
    </row>
    <row r="212" spans="1:16" x14ac:dyDescent="0.25">
      <c r="A212" s="20"/>
      <c r="B212" s="28"/>
      <c r="D212" s="11"/>
      <c r="E212" s="2" t="s">
        <v>17</v>
      </c>
      <c r="F212" t="s">
        <v>8</v>
      </c>
      <c r="H212" s="35"/>
      <c r="I212" s="98">
        <f>SQRT(4*10^-2*9.5*10^-2)</f>
        <v>6.1644140029689765E-2</v>
      </c>
      <c r="J212" s="24"/>
      <c r="K212" s="24"/>
      <c r="L212" s="24"/>
      <c r="M212" s="24"/>
      <c r="N212" s="24"/>
      <c r="O212" s="34"/>
      <c r="P212" s="34"/>
    </row>
    <row r="213" spans="1:16" x14ac:dyDescent="0.25">
      <c r="A213" s="20"/>
      <c r="B213" s="28"/>
      <c r="C213" s="1" t="s">
        <v>163</v>
      </c>
      <c r="D213" s="11"/>
      <c r="E213"/>
      <c r="F213"/>
      <c r="H213" s="24"/>
      <c r="I213" s="24"/>
      <c r="J213" s="24"/>
      <c r="K213" s="24"/>
      <c r="L213" s="24"/>
      <c r="M213" s="24"/>
      <c r="N213" s="24"/>
      <c r="O213" s="24"/>
      <c r="P213" s="24"/>
    </row>
    <row r="214" spans="1:16" x14ac:dyDescent="0.25">
      <c r="A214" s="20"/>
      <c r="B214" s="28"/>
      <c r="D214" s="11"/>
      <c r="E214" s="2" t="s">
        <v>164</v>
      </c>
      <c r="F214" t="s">
        <v>8</v>
      </c>
      <c r="H214" s="35"/>
      <c r="I214" s="99">
        <f>SQRT(3.1*10^-6*7.3*10^-6)</f>
        <v>4.7570999569065184E-6</v>
      </c>
      <c r="J214" s="99">
        <f>SQRT(4.4*10^-5*7.4*10^-4)</f>
        <v>1.8044389709823941E-4</v>
      </c>
      <c r="K214" s="31"/>
      <c r="L214" s="31"/>
      <c r="M214" s="31"/>
      <c r="N214" s="99">
        <f>SQRT(4.6*10^-6*1.1*10^-5)</f>
        <v>7.1133676975114965E-6</v>
      </c>
      <c r="O214" s="24"/>
      <c r="P214" s="24"/>
    </row>
    <row r="215" spans="1:16" x14ac:dyDescent="0.25">
      <c r="A215" s="20"/>
      <c r="B215" s="28" t="s">
        <v>113</v>
      </c>
      <c r="D215" s="11"/>
      <c r="E215"/>
      <c r="F215"/>
      <c r="H215" s="24"/>
      <c r="I215" s="24"/>
      <c r="J215" s="24"/>
      <c r="K215" s="24"/>
      <c r="L215" s="24"/>
      <c r="M215" s="24"/>
      <c r="N215" s="24"/>
      <c r="O215" s="24"/>
      <c r="P215" s="24"/>
    </row>
    <row r="216" spans="1:16" x14ac:dyDescent="0.25">
      <c r="A216" s="20"/>
      <c r="B216" s="28"/>
      <c r="C216" s="1" t="s">
        <v>17</v>
      </c>
      <c r="D216" s="11"/>
      <c r="E216"/>
      <c r="F216"/>
      <c r="H216" s="24"/>
      <c r="I216" s="24"/>
      <c r="J216" s="24"/>
      <c r="K216" s="24"/>
      <c r="L216" s="24"/>
      <c r="M216" s="24"/>
      <c r="N216" s="24"/>
      <c r="O216" s="24"/>
      <c r="P216" s="24"/>
    </row>
    <row r="217" spans="1:16" x14ac:dyDescent="0.25">
      <c r="A217" s="20"/>
      <c r="B217" s="28"/>
      <c r="D217" s="11"/>
      <c r="E217" s="2" t="s">
        <v>17</v>
      </c>
      <c r="F217" t="s">
        <v>8</v>
      </c>
      <c r="H217" s="35"/>
      <c r="I217" s="103">
        <f>SQRT(1.2*10^-3*1.6*10^-3)</f>
        <v>1.3856406460551018E-3</v>
      </c>
      <c r="J217" s="103">
        <f>SQRT(7.6*10^-7*1*10^-6)</f>
        <v>8.717797887081347E-7</v>
      </c>
      <c r="K217" s="103">
        <f>SQRT(2.1*10^-8*2.9*10^-8)</f>
        <v>2.4677925358506136E-8</v>
      </c>
      <c r="L217" s="31"/>
      <c r="M217" s="31"/>
      <c r="N217" s="103">
        <f>SQRT(6.2*10^-7*8.5*10^-7)</f>
        <v>7.2594765651526145E-7</v>
      </c>
      <c r="O217" s="34"/>
      <c r="P217" s="34"/>
    </row>
    <row r="218" spans="1:16" x14ac:dyDescent="0.25">
      <c r="A218" s="20"/>
      <c r="B218" s="28"/>
      <c r="C218" s="1" t="s">
        <v>155</v>
      </c>
      <c r="D218" s="11"/>
      <c r="E218"/>
      <c r="F218"/>
      <c r="H218" s="24"/>
      <c r="I218" s="24"/>
      <c r="J218" s="24"/>
      <c r="K218" s="24"/>
      <c r="L218" s="24"/>
      <c r="M218" s="24"/>
      <c r="N218" s="24"/>
      <c r="O218" s="24"/>
      <c r="P218" s="24"/>
    </row>
    <row r="219" spans="1:16" x14ac:dyDescent="0.25">
      <c r="A219" s="20"/>
      <c r="D219" s="11"/>
      <c r="E219" s="2" t="s">
        <v>17</v>
      </c>
      <c r="F219" t="s">
        <v>8</v>
      </c>
      <c r="H219" s="35"/>
      <c r="I219" s="103">
        <f>SQRT(3*10^-3*4.1*10^-3)</f>
        <v>3.5071355833500364E-3</v>
      </c>
      <c r="J219" s="103">
        <f>SQRT(2*10^-6*2.8*10^-6)</f>
        <v>2.3664319132398462E-6</v>
      </c>
      <c r="K219" s="103">
        <f>SQRT(3.3*10^-8*4.5*10^-8)</f>
        <v>3.8535697735995386E-8</v>
      </c>
      <c r="L219" s="31"/>
      <c r="M219" s="31"/>
      <c r="N219" s="103">
        <f>SQRT(1.6*10^-6*2.2*10^-6)</f>
        <v>1.8761663039293717E-6</v>
      </c>
      <c r="O219" s="34"/>
      <c r="P219" s="34"/>
    </row>
    <row r="220" spans="1:16" x14ac:dyDescent="0.25">
      <c r="A220" s="20" t="s">
        <v>140</v>
      </c>
      <c r="B220" s="28" t="s">
        <v>142</v>
      </c>
      <c r="H220" s="24"/>
      <c r="I220" s="24"/>
      <c r="J220" s="24"/>
      <c r="K220" s="24"/>
      <c r="L220" s="24"/>
      <c r="M220" s="24"/>
      <c r="N220" s="24"/>
      <c r="O220" s="24"/>
      <c r="P220" s="24"/>
    </row>
    <row r="223" spans="1:16" ht="15" customHeight="1" x14ac:dyDescent="0.25"/>
    <row r="224" spans="1:16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</sheetData>
  <mergeCells count="1">
    <mergeCell ref="H2:P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119553313.92882502</v>
      </c>
      <c r="I5" s="138">
        <f t="shared" si="0"/>
        <v>300167.19651285419</v>
      </c>
      <c r="J5" s="138">
        <f t="shared" si="0"/>
        <v>3716.1236500267305</v>
      </c>
      <c r="K5" s="138">
        <f t="shared" si="0"/>
        <v>701243.00589524722</v>
      </c>
      <c r="L5" s="138">
        <f t="shared" si="0"/>
        <v>2551281.1394016957</v>
      </c>
      <c r="M5" s="138">
        <f t="shared" si="0"/>
        <v>525453.83411604504</v>
      </c>
      <c r="N5" s="138">
        <f t="shared" si="0"/>
        <v>74582.770638844304</v>
      </c>
      <c r="O5" s="138">
        <f t="shared" si="0"/>
        <v>127082492.19822824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115000749.06588018</v>
      </c>
      <c r="I6" s="124">
        <f t="shared" si="1"/>
        <v>16105.034369991698</v>
      </c>
      <c r="J6" s="124">
        <f t="shared" si="1"/>
        <v>3679.3522294066888</v>
      </c>
      <c r="K6" s="124">
        <f t="shared" si="1"/>
        <v>699859.84345758462</v>
      </c>
      <c r="L6" s="124">
        <f t="shared" si="1"/>
        <v>2549068.0881216959</v>
      </c>
      <c r="M6" s="124">
        <f t="shared" si="1"/>
        <v>410779.66478917963</v>
      </c>
      <c r="N6" s="124">
        <f t="shared" si="1"/>
        <v>52452.2578388443</v>
      </c>
      <c r="O6" s="124">
        <f t="shared" si="1"/>
        <v>116553222.78989108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29859391.643486574</v>
      </c>
      <c r="I7" s="129">
        <f t="shared" si="2"/>
        <v>614.49518488235287</v>
      </c>
      <c r="J7" s="129">
        <f t="shared" si="2"/>
        <v>100.26351659647059</v>
      </c>
      <c r="K7" s="129">
        <f t="shared" si="2"/>
        <v>80723.648818823523</v>
      </c>
      <c r="L7" s="129">
        <f t="shared" si="2"/>
        <v>9800.3236754117643</v>
      </c>
      <c r="M7" s="129">
        <f t="shared" si="2"/>
        <v>2519.2359194705882</v>
      </c>
      <c r="N7" s="129">
        <f t="shared" si="2"/>
        <v>25186.963977647061</v>
      </c>
      <c r="O7" s="129">
        <f t="shared" si="2"/>
        <v>29903377.732514013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20897144.670957983</v>
      </c>
      <c r="I8" s="134">
        <f t="shared" si="3"/>
        <v>419.11894771199997</v>
      </c>
      <c r="J8" s="134">
        <f t="shared" si="3"/>
        <v>71.826182731200007</v>
      </c>
      <c r="K8" s="134">
        <f t="shared" si="3"/>
        <v>56758.988556799995</v>
      </c>
      <c r="L8" s="134">
        <f t="shared" si="3"/>
        <v>6896.86194024</v>
      </c>
      <c r="M8" s="134">
        <f t="shared" si="3"/>
        <v>1765.4798465599999</v>
      </c>
      <c r="N8" s="134">
        <f t="shared" si="3"/>
        <v>18903.406760000002</v>
      </c>
      <c r="O8" s="134">
        <f t="shared" si="3"/>
        <v>20928212.28550661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20897144.670957983</v>
      </c>
      <c r="I9" s="93">
        <f t="shared" ref="I9:O9" si="4">I10+I11+I12+I13+I14</f>
        <v>419.11894771199997</v>
      </c>
      <c r="J9" s="93">
        <f t="shared" si="4"/>
        <v>71.826182731200007</v>
      </c>
      <c r="K9" s="93">
        <f t="shared" si="4"/>
        <v>56758.988556799995</v>
      </c>
      <c r="L9" s="93">
        <f t="shared" si="4"/>
        <v>6896.86194024</v>
      </c>
      <c r="M9" s="93">
        <f t="shared" si="4"/>
        <v>1765.4798465599999</v>
      </c>
      <c r="N9" s="93">
        <f t="shared" si="4"/>
        <v>18903.406760000002</v>
      </c>
      <c r="O9" s="93">
        <f t="shared" si="4"/>
        <v>20928212.28550661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Actividad'!$U6*'FE Sectorial'!$H9*'FE Sectorial'!I9*'FE Sectorial'!$P9/1000</f>
        <v>1325117.904264</v>
      </c>
      <c r="I10" s="92">
        <f>'Datos Actividad'!$U6*'FE Sectorial'!$H9*'FE Sectorial'!J9/1000/1000</f>
        <v>14.293458000000001</v>
      </c>
      <c r="J10" s="92">
        <f>'Datos Actividad'!$U6*'FE Sectorial'!$H9*'FE Sectorial'!K9/1000/1000</f>
        <v>21.440187000000005</v>
      </c>
      <c r="K10" s="92">
        <f>'Datos Actividad'!$U6*'FE Sectorial'!$H9*'FE Sectorial'!L9/1000/1000</f>
        <v>4288.0374000000002</v>
      </c>
      <c r="L10" s="92">
        <f>'Datos Actividad'!$U6*'FE Sectorial'!$H9*'FE Sectorial'!M9/1000/1000</f>
        <v>285.86915999999997</v>
      </c>
      <c r="M10" s="92">
        <f>'Datos Actividad'!$U6*'FE Sectorial'!$H9*'FE Sectorial'!N9/1000/1000</f>
        <v>71.467289999999991</v>
      </c>
      <c r="N10" s="92">
        <f>'Datos Actividad'!$U6*'FE Sectorial'!$H9*'FE Sectorial'!O9/1000/1000</f>
        <v>13684.047</v>
      </c>
      <c r="O10" s="92">
        <f>IF(D10&lt;400,H10+I10*'Factores generales'!$M$41+J10*'Factores generales'!$N$41,I10*'Factores generales'!$M$41+J10*'Factores generales'!$N$41)</f>
        <v>1332064.5248520002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Actividad'!$U7*'FE Sectorial'!$H10*'FE Sectorial'!I10*'FE Sectorial'!$P10/1000</f>
        <v>597595.4719019999</v>
      </c>
      <c r="I11" s="17">
        <f>'Datos Actividad'!$U7*'FE Sectorial'!$H10*'FE Sectorial'!J10/1000/1000</f>
        <v>24.438534000000001</v>
      </c>
      <c r="J11" s="17">
        <f>'Datos Actividad'!$U7*'FE Sectorial'!$H10*'FE Sectorial'!K10/1000/1000</f>
        <v>4.8877068000000001</v>
      </c>
      <c r="K11" s="17">
        <f>'Datos Actividad'!$U7*'FE Sectorial'!$H10*'FE Sectorial'!L10/1000/1000</f>
        <v>1629.2356000000002</v>
      </c>
      <c r="L11" s="17">
        <f>'Datos Actividad'!$U7*'FE Sectorial'!$H10*'FE Sectorial'!M10/1000/1000</f>
        <v>122.19266999999999</v>
      </c>
      <c r="M11" s="17">
        <f>'Datos Actividad'!$U7*'FE Sectorial'!$H10*'FE Sectorial'!N10/1000/1000</f>
        <v>40.730890000000002</v>
      </c>
      <c r="N11" s="17">
        <f>'Datos Actividad'!$U7*'FE Sectorial'!$H10*'FE Sectorial'!O10/1000/1000</f>
        <v>295.53575999999998</v>
      </c>
      <c r="O11" s="17">
        <f>IF(D11&lt;400,H11+I11*'Factores generales'!$M$41+J11*'Factores generales'!$N$41,I11*'Factores generales'!$M$41+J11*'Factores generales'!$N$41)</f>
        <v>599623.87022399995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Actividad'!$U8*'FE Sectorial'!$H11*'FE Sectorial'!I11*'FE Sectorial'!$P11/1000</f>
        <v>1905329.3360112002</v>
      </c>
      <c r="I12" s="92">
        <f>'Datos Actividad'!$U8*'FE Sectorial'!$H11*'FE Sectorial'!J11/1000/1000</f>
        <v>74.595933599999995</v>
      </c>
      <c r="J12" s="92">
        <f>'Datos Actividad'!$U8*'FE Sectorial'!$H11*'FE Sectorial'!K11/1000/1000</f>
        <v>14.919186719999999</v>
      </c>
      <c r="K12" s="92">
        <f>'Datos Actividad'!$U8*'FE Sectorial'!$H11*'FE Sectorial'!L11/1000/1000</f>
        <v>4973.0622400000002</v>
      </c>
      <c r="L12" s="92">
        <f>'Datos Actividad'!$U8*'FE Sectorial'!$H11*'FE Sectorial'!M11/1000/1000</f>
        <v>372.979668</v>
      </c>
      <c r="M12" s="92">
        <f>'Datos Actividad'!$U8*'FE Sectorial'!$H11*'FE Sectorial'!N11/1000/1000</f>
        <v>124.326556</v>
      </c>
      <c r="N12" s="92">
        <f>'Datos Actividad'!$U8*'FE Sectorial'!$H11*'FE Sectorial'!O11/1000/1000</f>
        <v>4923.8239999999996</v>
      </c>
      <c r="O12" s="92">
        <f>IF(D12&lt;400,H12+I12*'Factores generales'!$M$41+J12*'Factores generales'!$N$41,I12*'Factores generales'!$M$41+J12*'Factores generales'!$N$41)</f>
        <v>1911520.7985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Actividad'!$U9*'FE Sectorial'!$H12*'FE Sectorial'!I12*'FE Sectorial'!$P12/1000</f>
        <v>17069101.958780784</v>
      </c>
      <c r="I13" s="17">
        <f>'Datos Actividad'!$U9*'FE Sectorial'!$H12*'FE Sectorial'!J12/1000/1000</f>
        <v>305.79102211199995</v>
      </c>
      <c r="J13" s="17">
        <f>'Datos Actividad'!$U9*'FE Sectorial'!$H12*'FE Sectorial'!K12/1000/1000</f>
        <v>30.579102211199999</v>
      </c>
      <c r="K13" s="17">
        <f>'Datos Actividad'!$U9*'FE Sectorial'!$H12*'FE Sectorial'!L12/1000/1000</f>
        <v>45868.653316799995</v>
      </c>
      <c r="L13" s="17">
        <f>'Datos Actividad'!$U9*'FE Sectorial'!$H12*'FE Sectorial'!M12/1000/1000</f>
        <v>6115.8204422399995</v>
      </c>
      <c r="M13" s="17">
        <f>'Datos Actividad'!$U9*'FE Sectorial'!$H12*'FE Sectorial'!N12/1000/1000</f>
        <v>1528.9551105599999</v>
      </c>
      <c r="N13" s="17">
        <f>'Datos Actividad'!$U9*'FE Sectorial'!$H12*'FE Sectorial'!O12/1000/1000</f>
        <v>0</v>
      </c>
      <c r="O13" s="17">
        <f>IF(D13&lt;400,H13+I13*'Factores generales'!$M$41+J13*'Factores generales'!$N$41,I13*'Factores generales'!$M$41+J13*'Factores generales'!$N$41)</f>
        <v>17085003.091930609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Actividad'!$U10*'FE Sectorial'!$H13*'FE Sectorial'!I13*'FE Sectorial'!$P13/1000</f>
        <v>0</v>
      </c>
      <c r="I14" s="147">
        <f>'Datos Actividad'!$U10*'FE Sectorial'!$H13*'FE Sectorial'!J13/1000/1000</f>
        <v>0</v>
      </c>
      <c r="J14" s="147">
        <f>'Datos Actividad'!$U10*'FE Sectorial'!$H13*'FE Sectorial'!K13/1000/1000</f>
        <v>0</v>
      </c>
      <c r="K14" s="147">
        <f>'Datos Actividad'!$U10*'FE Sectorial'!$H13*'FE Sectorial'!L13/1000/1000</f>
        <v>0</v>
      </c>
      <c r="L14" s="147">
        <f>'Datos Actividad'!$U10*'FE Sectorial'!$H13*'FE Sectorial'!M13/1000/1000</f>
        <v>0</v>
      </c>
      <c r="M14" s="147">
        <f>'Datos Actividad'!$U10*'FE Sectorial'!$H13*'FE Sectorial'!N13/1000/1000</f>
        <v>0</v>
      </c>
      <c r="N14" s="147">
        <f>'Datos Actividad'!$U10*'FE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4020434.2860981924</v>
      </c>
      <c r="I17" s="134">
        <f t="shared" ref="I17:O17" si="5">SUM(I18:I25)</f>
        <v>105.84906417035293</v>
      </c>
      <c r="J17" s="134">
        <f t="shared" si="5"/>
        <v>16.919279005270589</v>
      </c>
      <c r="K17" s="134">
        <f t="shared" si="5"/>
        <v>10598.715802023529</v>
      </c>
      <c r="L17" s="134">
        <f t="shared" si="5"/>
        <v>1166.8253951717647</v>
      </c>
      <c r="M17" s="134">
        <f t="shared" si="5"/>
        <v>318.09956791058823</v>
      </c>
      <c r="N17" s="134">
        <f t="shared" si="5"/>
        <v>4038.7341176470591</v>
      </c>
      <c r="O17" s="134">
        <f t="shared" si="5"/>
        <v>4027902.0929374034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Actividad'!$U14*'FE Sectorial'!$H17*'FE Sectorial'!I17*'FE Sectorial'!P17/1000</f>
        <v>1147483.5987170159</v>
      </c>
      <c r="I18" s="17">
        <f>'Datos Actividad'!$U14*'FE Sectorial'!$H17*'FE Sectorial'!J17/1000/1000</f>
        <v>20.557038288000001</v>
      </c>
      <c r="J18" s="17">
        <f>'Datos Actividad'!$U14*'FE Sectorial'!$H17*'FE Sectorial'!K17/1000/1000</f>
        <v>2.0557038288</v>
      </c>
      <c r="K18" s="17">
        <f>'Datos Actividad'!$U14*'FE Sectorial'!$H17*'FE Sectorial'!L17/1000/1000</f>
        <v>3083.5557432000001</v>
      </c>
      <c r="L18" s="17">
        <f>'Datos Actividad'!$U14*'FE Sectorial'!$H17*'FE Sectorial'!M17/1000/1000</f>
        <v>411.14076575999997</v>
      </c>
      <c r="M18" s="17">
        <f>'Datos Actividad'!$U14*'FE Sectorial'!$H17*'FE Sectorial'!N17/1000/1000</f>
        <v>102.78519143999999</v>
      </c>
      <c r="N18" s="17">
        <f>'Datos Actividad'!$U14*'FE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1148552.5647079919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Actividad'!$U15*'FE Sectorial'!$H18*'FE Sectorial'!I18*'FE Sectorial'!P18/1000</f>
        <v>0</v>
      </c>
      <c r="I19" s="17">
        <f>'Datos Actividad'!$U15*'FE Sectorial'!$H18*'FE Sectorial'!J18/1000/1000</f>
        <v>0</v>
      </c>
      <c r="J19" s="17">
        <f>'Datos Actividad'!$U15*'FE Sectorial'!$H18*'FE Sectorial'!K18/1000/1000</f>
        <v>0</v>
      </c>
      <c r="K19" s="17">
        <f>'Datos Actividad'!$U15*'FE Sectorial'!$H18*'FE Sectorial'!L18/1000/1000</f>
        <v>0</v>
      </c>
      <c r="L19" s="17">
        <f>'Datos Actividad'!$U15*'FE Sectorial'!$H18*'FE Sectorial'!M18/1000/1000</f>
        <v>0</v>
      </c>
      <c r="M19" s="17">
        <f>'Datos Actividad'!$U15*'FE Sectorial'!$H18*'FE Sectorial'!N18/1000/1000</f>
        <v>0</v>
      </c>
      <c r="N19" s="17">
        <f>'Datos Actividad'!$U15*'FE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Actividad'!$U16*'FE Sectorial'!$H19*'FE Sectorial'!I19*'FE Sectorial'!P19/1000</f>
        <v>1257900.9696</v>
      </c>
      <c r="I20" s="17">
        <f>'Datos Actividad'!$U16*'FE Sectorial'!$H19*'FE Sectorial'!J19/1000/1000</f>
        <v>21.9483</v>
      </c>
      <c r="J20" s="17">
        <f>'Datos Actividad'!$U16*'FE Sectorial'!$H19*'FE Sectorial'!K19/1000/1000</f>
        <v>2.1948300000000001</v>
      </c>
      <c r="K20" s="17">
        <f>'Datos Actividad'!$U16*'FE Sectorial'!$H19*'FE Sectorial'!L19/1000/1000</f>
        <v>3292.2449999999999</v>
      </c>
      <c r="L20" s="17">
        <f>'Datos Actividad'!$U16*'FE Sectorial'!$H19*'FE Sectorial'!M19/1000/1000</f>
        <v>438.96600000000001</v>
      </c>
      <c r="M20" s="17">
        <f>'Datos Actividad'!$U16*'FE Sectorial'!$H19*'FE Sectorial'!N19/1000/1000</f>
        <v>109.7415</v>
      </c>
      <c r="N20" s="17">
        <f>'Datos Actividad'!$U16*'FE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1259042.2812000001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Actividad'!$U17*'FE Sectorial'!$H20*'FE Sectorial'!I20*'FE Sectorial'!P20/1000</f>
        <v>0</v>
      </c>
      <c r="I21" s="17">
        <f>'Datos Actividad'!$U17*'FE Sectorial'!$H20*'FE Sectorial'!J20/1000/1000</f>
        <v>0</v>
      </c>
      <c r="J21" s="17">
        <f>'Datos Actividad'!$U17*'FE Sectorial'!$H20*'FE Sectorial'!K20/1000/1000</f>
        <v>0</v>
      </c>
      <c r="K21" s="17">
        <f>'Datos Actividad'!$U17*'FE Sectorial'!$H20*'FE Sectorial'!L20/1000/1000</f>
        <v>0</v>
      </c>
      <c r="L21" s="17">
        <f>'Datos Actividad'!$U17*'FE Sectorial'!$H20*'FE Sectorial'!M20/1000/1000</f>
        <v>0</v>
      </c>
      <c r="M21" s="17">
        <f>'Datos Actividad'!$U17*'FE Sectorial'!$H20*'FE Sectorial'!N20/1000/1000</f>
        <v>0</v>
      </c>
      <c r="N21" s="17">
        <f>'Datos Actividad'!$U17*'FE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Actividad'!$U18*'FE Sectorial'!$H21*'FE Sectorial'!I21*'FE Sectorial'!P21/1000</f>
        <v>0</v>
      </c>
      <c r="I22" s="17">
        <f>'Datos Actividad'!$U18*'FE Sectorial'!$H21*'FE Sectorial'!J21/1000/1000</f>
        <v>0</v>
      </c>
      <c r="J22" s="17">
        <f>'Datos Actividad'!$U18*'FE Sectorial'!$H21*'FE Sectorial'!K21/1000/1000</f>
        <v>0</v>
      </c>
      <c r="K22" s="17">
        <f>'Datos Actividad'!$U18*'FE Sectorial'!$H21*'FE Sectorial'!L21/1000/1000</f>
        <v>0</v>
      </c>
      <c r="L22" s="17">
        <f>'Datos Actividad'!$U18*'FE Sectorial'!$H21*'FE Sectorial'!M21/1000/1000</f>
        <v>0</v>
      </c>
      <c r="M22" s="17">
        <f>'Datos Actividad'!$U18*'FE Sectorial'!$H21*'FE Sectorial'!N21/1000/1000</f>
        <v>0</v>
      </c>
      <c r="N22" s="17">
        <f>'Datos Actividad'!$U18*'FE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Actividad'!$U19*'FE Sectorial'!$H22*'FE Sectorial'!I22*'FE Sectorial'!P22/1000</f>
        <v>64573.18094117647</v>
      </c>
      <c r="I23" s="17">
        <f>'Datos Actividad'!$U19*'FE Sectorial'!$H22*'FE Sectorial'!J22/1000/1000</f>
        <v>2.640705882352941</v>
      </c>
      <c r="J23" s="17">
        <f>'Datos Actividad'!$U19*'FE Sectorial'!$H22*'FE Sectorial'!K22/1000/1000</f>
        <v>0.52814117647058823</v>
      </c>
      <c r="K23" s="17">
        <f>'Datos Actividad'!$U19*'FE Sectorial'!$H22*'FE Sectorial'!L22/1000/1000</f>
        <v>176.04705882352943</v>
      </c>
      <c r="L23" s="17">
        <f>'Datos Actividad'!$U19*'FE Sectorial'!$H22*'FE Sectorial'!M22/1000/1000</f>
        <v>13.203529411764707</v>
      </c>
      <c r="M23" s="17">
        <f>'Datos Actividad'!$U19*'FE Sectorial'!$H22*'FE Sectorial'!N22/1000/1000</f>
        <v>4.4011764705882355</v>
      </c>
      <c r="N23" s="17">
        <f>'Datos Actividad'!$U19*'FE Sectorial'!$H22*'FE Sectorial'!O22/1000/1000</f>
        <v>31.934117647058827</v>
      </c>
      <c r="O23" s="87">
        <f>IF(D23&lt;400,H23+I23*'Factores generales'!$M$41+J23*'Factores generales'!$N$41,I23*'Factores generales'!$M$41+J23*'Factores generales'!$N$41)</f>
        <v>64792.359529411762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Actividad'!$U20*'FE Sectorial'!$H23*'FE Sectorial'!I23*'FE Sectorial'!P23/1000</f>
        <v>1550476.53684</v>
      </c>
      <c r="I24" s="17">
        <f>'Datos Actividad'!$U20*'FE Sectorial'!$H23*'FE Sectorial'!J23/1000/1000</f>
        <v>60.703019999999995</v>
      </c>
      <c r="J24" s="17">
        <f>'Datos Actividad'!$U20*'FE Sectorial'!$H23*'FE Sectorial'!K23/1000/1000</f>
        <v>12.140604</v>
      </c>
      <c r="K24" s="17">
        <f>'Datos Actividad'!$U20*'FE Sectorial'!$H23*'FE Sectorial'!L23/1000/1000</f>
        <v>4046.8679999999999</v>
      </c>
      <c r="L24" s="17">
        <f>'Datos Actividad'!$U20*'FE Sectorial'!$H23*'FE Sectorial'!M23/1000/1000</f>
        <v>303.51509999999996</v>
      </c>
      <c r="M24" s="17">
        <f>'Datos Actividad'!$U20*'FE Sectorial'!$H23*'FE Sectorial'!N23/1000/1000</f>
        <v>101.1717</v>
      </c>
      <c r="N24" s="17">
        <f>'Datos Actividad'!$U20*'FE Sectorial'!$H23*'FE Sectorial'!O23/1000/1000</f>
        <v>4006.8</v>
      </c>
      <c r="O24" s="87">
        <f>IF(D24&lt;400,H24+I24*'Factores generales'!$M$41+J24*'Factores generales'!$N$41,I24*'Factores generales'!$M$41+J24*'Factores generales'!$N$41)</f>
        <v>1555514.8875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Actividad'!$U21*'FE Sectorial'!$H24*'FE Sectorial'!I24*'FE Sectorial'!P24/1000</f>
        <v>0</v>
      </c>
      <c r="I25" s="17">
        <f>'Datos Actividad'!$U21*'FE Sectorial'!$H24*'FE Sectorial'!J24/1000/1000</f>
        <v>0</v>
      </c>
      <c r="J25" s="17">
        <f>'Datos Actividad'!$U21*'FE Sectorial'!$H24*'FE Sectorial'!K24/1000/1000</f>
        <v>0</v>
      </c>
      <c r="K25" s="17">
        <f>'Datos Actividad'!$U21*'FE Sectorial'!$H24*'FE Sectorial'!L24/1000/1000</f>
        <v>0</v>
      </c>
      <c r="L25" s="17">
        <f>'Datos Actividad'!$U21*'FE Sectorial'!$H24*'FE Sectorial'!M24/1000/1000</f>
        <v>0</v>
      </c>
      <c r="M25" s="17">
        <f>'Datos Actividad'!$U21*'FE Sectorial'!$H24*'FE Sectorial'!N24/1000/1000</f>
        <v>0</v>
      </c>
      <c r="N25" s="17">
        <f>'Datos Actividad'!$U21*'FE Sectorial'!$H24*'FE Sectorial'!O24/1000/1000</f>
        <v>0</v>
      </c>
      <c r="O25" s="87">
        <f>IF(D25&lt;400,H25+I25*'Factores generales'!$M$41+J25*'Factores generales'!$N$41,I25*'Factores generales'!$M$41+J25*'Factores generales'!$N$41)</f>
        <v>0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4941812.6864304002</v>
      </c>
      <c r="I26" s="134">
        <f t="shared" ref="I26:O26" si="6">I27+I28</f>
        <v>89.527172999999991</v>
      </c>
      <c r="J26" s="134">
        <f t="shared" si="6"/>
        <v>11.518054860000001</v>
      </c>
      <c r="K26" s="134">
        <f t="shared" si="6"/>
        <v>13365.944459999999</v>
      </c>
      <c r="L26" s="134">
        <f t="shared" si="6"/>
        <v>1736.63634</v>
      </c>
      <c r="M26" s="134">
        <f t="shared" si="6"/>
        <v>435.65650500000004</v>
      </c>
      <c r="N26" s="134">
        <f t="shared" si="6"/>
        <v>2244.8231000000005</v>
      </c>
      <c r="O26" s="134">
        <f t="shared" si="6"/>
        <v>4947263.3540700004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4941812.6864304002</v>
      </c>
      <c r="I28" s="15">
        <f t="shared" si="7"/>
        <v>89.527172999999991</v>
      </c>
      <c r="J28" s="15">
        <f t="shared" si="7"/>
        <v>11.518054860000001</v>
      </c>
      <c r="K28" s="15">
        <f t="shared" si="7"/>
        <v>13365.944459999999</v>
      </c>
      <c r="L28" s="15">
        <f t="shared" si="7"/>
        <v>1736.63634</v>
      </c>
      <c r="M28" s="15">
        <f t="shared" si="7"/>
        <v>435.65650500000004</v>
      </c>
      <c r="N28" s="15">
        <f t="shared" si="7"/>
        <v>2244.8231000000005</v>
      </c>
      <c r="O28" s="15">
        <f t="shared" si="7"/>
        <v>4947263.3540700004</v>
      </c>
    </row>
    <row r="29" spans="1:15" outlineLevel="1" x14ac:dyDescent="0.25">
      <c r="B29" s="1" t="s">
        <v>7</v>
      </c>
      <c r="G29" s="1"/>
      <c r="H29" s="95">
        <f t="shared" ref="H29:O29" si="8">H30+H31</f>
        <v>146078.45664720002</v>
      </c>
      <c r="I29" s="95">
        <f t="shared" si="8"/>
        <v>1.5756834000000002</v>
      </c>
      <c r="J29" s="95">
        <f t="shared" si="8"/>
        <v>2.3635251000000008</v>
      </c>
      <c r="K29" s="95">
        <f t="shared" si="8"/>
        <v>472.7050200000001</v>
      </c>
      <c r="L29" s="95">
        <f t="shared" si="8"/>
        <v>31.513668000000006</v>
      </c>
      <c r="M29" s="95">
        <f t="shared" si="8"/>
        <v>7.8784170000000016</v>
      </c>
      <c r="N29" s="95">
        <f t="shared" si="8"/>
        <v>1508.5031000000004</v>
      </c>
      <c r="O29" s="95">
        <f t="shared" si="8"/>
        <v>146844.23877960001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Actividad'!$U26*'FE Sectorial'!$H29*'FE Sectorial'!I29*'FE Sectorial'!P29/1000</f>
        <v>146078.45664720002</v>
      </c>
      <c r="I30" s="17">
        <f>'Datos Actividad'!$U26*'FE Sectorial'!$H29*'FE Sectorial'!J29/1000/1000</f>
        <v>1.5756834000000002</v>
      </c>
      <c r="J30" s="17">
        <f>'Datos Actividad'!$U26*'FE Sectorial'!$H29*'FE Sectorial'!K29/1000/1000</f>
        <v>2.3635251000000008</v>
      </c>
      <c r="K30" s="17">
        <f>'Datos Actividad'!$U26*'FE Sectorial'!$H29*'FE Sectorial'!L29/1000/1000</f>
        <v>472.7050200000001</v>
      </c>
      <c r="L30" s="17">
        <f>'Datos Actividad'!$U26*'FE Sectorial'!$H29*'FE Sectorial'!M29/1000/1000</f>
        <v>31.513668000000006</v>
      </c>
      <c r="M30" s="17">
        <f>'Datos Actividad'!$U26*'FE Sectorial'!$H29*'FE Sectorial'!N29/1000/1000</f>
        <v>7.8784170000000016</v>
      </c>
      <c r="N30" s="17">
        <f>'Datos Actividad'!$U26*'FE Sectorial'!$H29*'FE Sectorial'!O29/1000/1000</f>
        <v>1508.5031000000004</v>
      </c>
      <c r="O30" s="87">
        <f>IF(D30&lt;400,H30+I30*'Factores generales'!$M$41+J30*'Factores generales'!$N$41,I30*'Factores generales'!$M$41+J30*'Factores generales'!$N$41)</f>
        <v>146844.23877960001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Actividad'!$U27*'FE Sectorial'!$H30*'FE Sectorial'!I30*'FE Sectorial'!P30/1000</f>
        <v>0</v>
      </c>
      <c r="I31" s="17">
        <f>'Datos Actividad'!$U27*'FE Sectorial'!$H30*'FE Sectorial'!J30/1000/1000</f>
        <v>0</v>
      </c>
      <c r="J31" s="17">
        <f>'Datos Actividad'!$U27*'FE Sectorial'!$H30*'FE Sectorial'!K30/1000/1000</f>
        <v>0</v>
      </c>
      <c r="K31" s="17">
        <f>'Datos Actividad'!$U27*'FE Sectorial'!$H30*'FE Sectorial'!L30/1000/1000</f>
        <v>0</v>
      </c>
      <c r="L31" s="17">
        <f>'Datos Actividad'!$U27*'FE Sectorial'!$H30*'FE Sectorial'!M30/1000/1000</f>
        <v>0</v>
      </c>
      <c r="M31" s="17">
        <f>'Datos Actividad'!$U27*'FE Sectorial'!$H30*'FE Sectorial'!N30/1000/1000</f>
        <v>0</v>
      </c>
      <c r="N31" s="17">
        <f>'Datos Actividad'!$U27*'FE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4795734.2297832007</v>
      </c>
      <c r="I32" s="17">
        <f t="shared" ref="I32:O32" si="9">I33+I34+I35</f>
        <v>87.951489599999988</v>
      </c>
      <c r="J32" s="17">
        <f t="shared" si="9"/>
        <v>9.1545297600000008</v>
      </c>
      <c r="K32" s="17">
        <f t="shared" si="9"/>
        <v>12893.239439999999</v>
      </c>
      <c r="L32" s="17">
        <f t="shared" si="9"/>
        <v>1705.122672</v>
      </c>
      <c r="M32" s="17">
        <f t="shared" si="9"/>
        <v>427.77808800000003</v>
      </c>
      <c r="N32" s="17">
        <f t="shared" si="9"/>
        <v>736.32</v>
      </c>
      <c r="O32" s="17">
        <f t="shared" si="9"/>
        <v>4800419.1152904006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Actividad'!$U29*'FE Sectorial'!$H32*'FE Sectorial'!I32*'FE Sectorial'!P32/1000</f>
        <v>4708803.6080712005</v>
      </c>
      <c r="I33" s="17">
        <f>'Datos Actividad'!$U29*'FE Sectorial'!$H32*'FE Sectorial'!J32/1000/1000</f>
        <v>84.357681599999992</v>
      </c>
      <c r="J33" s="17">
        <f>'Datos Actividad'!$U29*'FE Sectorial'!$H32*'FE Sectorial'!K32/1000/1000</f>
        <v>8.4357681600000003</v>
      </c>
      <c r="K33" s="17">
        <f>'Datos Actividad'!$U29*'FE Sectorial'!$H32*'FE Sectorial'!L32/1000/1000</f>
        <v>12653.652239999999</v>
      </c>
      <c r="L33" s="17">
        <f>'Datos Actividad'!$U29*'FE Sectorial'!$H32*'FE Sectorial'!M32/1000/1000</f>
        <v>1687.153632</v>
      </c>
      <c r="M33" s="17">
        <f>'Datos Actividad'!$U29*'FE Sectorial'!$H32*'FE Sectorial'!N32/1000/1000</f>
        <v>421.788408</v>
      </c>
      <c r="N33" s="17">
        <f>'Datos Actividad'!$U29*'FE Sectorial'!$H32*'FE Sectorial'!O32/1000/1000</f>
        <v>0</v>
      </c>
      <c r="O33" s="87">
        <f>IF(D33&lt;400,H33+I33*'Factores generales'!$M$41+J33*'Factores generales'!$N$41,I33*'Factores generales'!$M$41+J33*'Factores generales'!$N$41)</f>
        <v>4713190.2075144006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Actividad'!$U30*'FE Sectorial'!$H33*'FE Sectorial'!I33*'FE Sectorial'!P33/1000</f>
        <v>0</v>
      </c>
      <c r="I34" s="17">
        <f>'Datos Actividad'!$U30*'FE Sectorial'!$H33*'FE Sectorial'!J33/1000/1000</f>
        <v>0</v>
      </c>
      <c r="J34" s="17">
        <f>'Datos Actividad'!$U30*'FE Sectorial'!$H33*'FE Sectorial'!K33/1000/1000</f>
        <v>0</v>
      </c>
      <c r="K34" s="17">
        <f>'Datos Actividad'!$U30*'FE Sectorial'!$H33*'FE Sectorial'!L33/1000/1000</f>
        <v>0</v>
      </c>
      <c r="L34" s="17">
        <f>'Datos Actividad'!$U30*'FE Sectorial'!$H33*'FE Sectorial'!M33/1000/1000</f>
        <v>0</v>
      </c>
      <c r="M34" s="17">
        <f>'Datos Actividad'!$U30*'FE Sectorial'!$H33*'FE Sectorial'!N33/1000/1000</f>
        <v>0</v>
      </c>
      <c r="N34" s="17">
        <f>'Datos Actividad'!$U30*'FE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Actividad'!$U31*'FE Sectorial'!$H34*'FE Sectorial'!I34*'FE Sectorial'!P34/1000</f>
        <v>86930.621711999993</v>
      </c>
      <c r="I35" s="17">
        <f>'Datos Actividad'!$U31*'FE Sectorial'!$H34*'FE Sectorial'!J34/1000/1000</f>
        <v>3.5938080000000001</v>
      </c>
      <c r="J35" s="17">
        <f>'Datos Actividad'!$U31*'FE Sectorial'!$H34*'FE Sectorial'!K34/1000/1000</f>
        <v>0.71876159999999989</v>
      </c>
      <c r="K35" s="17">
        <f>'Datos Actividad'!$U31*'FE Sectorial'!$H34*'FE Sectorial'!L34/1000/1000</f>
        <v>239.58720000000002</v>
      </c>
      <c r="L35" s="17">
        <f>'Datos Actividad'!$U31*'FE Sectorial'!$H34*'FE Sectorial'!M34/1000/1000</f>
        <v>17.96904</v>
      </c>
      <c r="M35" s="17">
        <f>'Datos Actividad'!$U31*'FE Sectorial'!$H34*'FE Sectorial'!N34/1000/1000</f>
        <v>5.9896799999999999</v>
      </c>
      <c r="N35" s="17">
        <f>'Datos Actividad'!$U31*'FE Sectorial'!$H34*'FE Sectorial'!O34/1000/1000</f>
        <v>736.32</v>
      </c>
      <c r="O35" s="87">
        <f>IF(D35&lt;400,H35+I35*'Factores generales'!$M$41+J35*'Factores generales'!$N$41,I35*'Factores generales'!$M$41+J35*'Factores generales'!$N$41)</f>
        <v>87228.907775999993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19625558.685736708</v>
      </c>
      <c r="I36" s="129">
        <f t="shared" si="10"/>
        <v>2719.7254905490554</v>
      </c>
      <c r="J36" s="129">
        <f t="shared" si="10"/>
        <v>377.9591341066922</v>
      </c>
      <c r="K36" s="129">
        <f t="shared" si="10"/>
        <v>56467.654139705504</v>
      </c>
      <c r="L36" s="129">
        <f t="shared" si="10"/>
        <v>313920.58888531162</v>
      </c>
      <c r="M36" s="129">
        <f t="shared" si="10"/>
        <v>5643.2176253008738</v>
      </c>
      <c r="N36" s="129">
        <f t="shared" si="10"/>
        <v>6291.8155026011282</v>
      </c>
      <c r="O36" s="129">
        <f t="shared" si="10"/>
        <v>19873509.063736312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6031301.296069596</v>
      </c>
      <c r="I37" s="134">
        <f t="shared" ref="I37:O37" si="11">SUM(I38:I44)</f>
        <v>69.610674208142996</v>
      </c>
      <c r="J37" s="134">
        <f t="shared" si="11"/>
        <v>20.28518364888448</v>
      </c>
      <c r="K37" s="134">
        <f t="shared" si="11"/>
        <v>11869.185012800395</v>
      </c>
      <c r="L37" s="134">
        <f t="shared" si="11"/>
        <v>3230.3873315074479</v>
      </c>
      <c r="M37" s="134">
        <f t="shared" si="11"/>
        <v>490.81175919860971</v>
      </c>
      <c r="N37" s="134">
        <f t="shared" si="11"/>
        <v>0</v>
      </c>
      <c r="O37" s="134">
        <f t="shared" si="11"/>
        <v>6039051.52715912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Actividad'!$U34*'FE Sectorial'!$H37*'FE Sectorial'!I37*'FE Sectorial'!P37/1000</f>
        <v>2558832.0381645123</v>
      </c>
      <c r="I38" s="17">
        <f>'Datos Actividad'!$U34*'FE Sectorial'!$H37*'FE Sectorial'!J37/1000/1000</f>
        <v>45.841185216</v>
      </c>
      <c r="J38" s="17">
        <f>'Datos Actividad'!$U34*'FE Sectorial'!$H37*'FE Sectorial'!K37/1000/1000</f>
        <v>4.5841185215999998</v>
      </c>
      <c r="K38" s="17">
        <f>'Datos Actividad'!$U34*'FE Sectorial'!$H37*'FE Sectorial'!L37/1000/1000</f>
        <v>6876.1777824000001</v>
      </c>
      <c r="L38" s="17">
        <f>'Datos Actividad'!$U34*'FE Sectorial'!$H37*'FE Sectorial'!M37/1000/1000</f>
        <v>1375.23555648</v>
      </c>
      <c r="M38" s="17">
        <f>'Datos Actividad'!$U34*'FE Sectorial'!$H37*'FE Sectorial'!N37/1000/1000</f>
        <v>229.20592607999998</v>
      </c>
      <c r="N38" s="17">
        <f>'Datos Actividad'!$U34*'FE Sectorial'!$H37*'FE Sectorial'!O37/1000/1000</f>
        <v>0</v>
      </c>
      <c r="O38" s="87">
        <f>IF(D38&lt;400,H38+I38*'Factores generales'!$M$41+J38*'Factores generales'!$N$41,I38*'Factores generales'!$M$41+J38*'Factores generales'!$N$41)</f>
        <v>2561215.779795744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Actividad'!$U35*'FE Sectorial'!$H38*'FE Sectorial'!I38*'FE Sectorial'!P38/1000</f>
        <v>2331633.0232663658</v>
      </c>
      <c r="I39" s="17">
        <f>'Datos Actividad'!$U35*'FE Sectorial'!$H38*'FE Sectorial'!J38/1000/1000</f>
        <v>9.0128837389500003</v>
      </c>
      <c r="J39" s="17">
        <f>'Datos Actividad'!$U35*'FE Sectorial'!$H38*'FE Sectorial'!K38/1000/1000</f>
        <v>0.90128837389500016</v>
      </c>
      <c r="K39" s="17">
        <f>'Datos Actividad'!$U35*'FE Sectorial'!$H38*'FE Sectorial'!L38/1000/1000</f>
        <v>1351.9325608425004</v>
      </c>
      <c r="L39" s="17">
        <f>'Datos Actividad'!$U35*'FE Sectorial'!$H38*'FE Sectorial'!M38/1000/1000</f>
        <v>270.38651216849996</v>
      </c>
      <c r="M39" s="17">
        <f>'Datos Actividad'!$U35*'FE Sectorial'!$H38*'FE Sectorial'!N38/1000/1000</f>
        <v>45.064418694750003</v>
      </c>
      <c r="N39" s="17">
        <f>'Datos Actividad'!$U35*'FE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2332101.6932207909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Actividad'!$U36*'FE Sectorial'!$H39*'FE Sectorial'!I39*'FE Sectorial'!P39/1000</f>
        <v>231465.30207292805</v>
      </c>
      <c r="I40" s="17">
        <f>'Datos Actividad'!$U36*'FE Sectorial'!$H39*'FE Sectorial'!J39/1000/1000</f>
        <v>5.2393793760000005</v>
      </c>
      <c r="J40" s="17">
        <f>'Datos Actividad'!$U36*'FE Sectorial'!$H39*'FE Sectorial'!K39/1000/1000</f>
        <v>0.52393793760000018</v>
      </c>
      <c r="K40" s="17">
        <f>'Datos Actividad'!$U36*'FE Sectorial'!$H39*'FE Sectorial'!L39/1000/1000</f>
        <v>785.90690640000025</v>
      </c>
      <c r="L40" s="17">
        <f>'Datos Actividad'!$U36*'FE Sectorial'!$H39*'FE Sectorial'!M39/1000/1000</f>
        <v>157.18138128000004</v>
      </c>
      <c r="M40" s="17">
        <f>'Datos Actividad'!$U36*'FE Sectorial'!$H39*'FE Sectorial'!N39/1000/1000</f>
        <v>26.196896880000008</v>
      </c>
      <c r="N40" s="17">
        <f>'Datos Actividad'!$U36*'FE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231737.74980048006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Actividad'!$U37*'FE Sectorial'!$H40*'FE Sectorial'!I40*'FE Sectorial'!P40/1000</f>
        <v>0</v>
      </c>
      <c r="I41" s="17">
        <f>'Datos Actividad'!$U37*'FE Sectorial'!$H40*'FE Sectorial'!J40/1000/1000</f>
        <v>0</v>
      </c>
      <c r="J41" s="17">
        <f>'Datos Actividad'!$U37*'FE Sectorial'!$H40*'FE Sectorial'!K40/1000/1000</f>
        <v>0</v>
      </c>
      <c r="K41" s="17">
        <f>'Datos Actividad'!$U37*'FE Sectorial'!$H40*'FE Sectorial'!L40/1000/1000</f>
        <v>0</v>
      </c>
      <c r="L41" s="17">
        <f>'Datos Actividad'!$U37*'FE Sectorial'!$H40*'FE Sectorial'!M40/1000/1000</f>
        <v>0</v>
      </c>
      <c r="M41" s="17">
        <f>'Datos Actividad'!$U37*'FE Sectorial'!$H40*'FE Sectorial'!N40/1000/1000</f>
        <v>0</v>
      </c>
      <c r="N41" s="17">
        <f>'Datos Actividad'!$U37*'FE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Actividad'!$U38*'FE Sectorial'!$H41*'FE Sectorial'!I41*'FE Sectorial'!P41/1000</f>
        <v>0</v>
      </c>
      <c r="I42" s="17">
        <f>'Datos Actividad'!$U38*'FE Sectorial'!$H41*'FE Sectorial'!J41/1000/1000</f>
        <v>0</v>
      </c>
      <c r="J42" s="17">
        <f>'Datos Actividad'!$U38*'FE Sectorial'!$H41*'FE Sectorial'!K41/1000/1000</f>
        <v>0</v>
      </c>
      <c r="K42" s="17">
        <f>'Datos Actividad'!$U38*'FE Sectorial'!$H41*'FE Sectorial'!L41/1000/1000</f>
        <v>0</v>
      </c>
      <c r="L42" s="17">
        <f>'Datos Actividad'!$U38*'FE Sectorial'!$H41*'FE Sectorial'!M41/1000/1000</f>
        <v>0</v>
      </c>
      <c r="M42" s="17">
        <f>'Datos Actividad'!$U38*'FE Sectorial'!$H41*'FE Sectorial'!N41/1000/1000</f>
        <v>0</v>
      </c>
      <c r="N42" s="17">
        <f>'Datos Actividad'!$U38*'FE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Actividad'!$U39*'FE Sectorial'!$H42*'FE Sectorial'!I42*'FE Sectorial'!P42/1000</f>
        <v>891773.80756578955</v>
      </c>
      <c r="I43" s="17">
        <f>'Datos Actividad'!$U39*'FE Sectorial'!$H42*'FE Sectorial'!J42/1000/1000</f>
        <v>9.3330592105263168</v>
      </c>
      <c r="J43" s="17">
        <f>'Datos Actividad'!$U39*'FE Sectorial'!$H42*'FE Sectorial'!K42/1000/1000</f>
        <v>13.999588815789478</v>
      </c>
      <c r="K43" s="17">
        <f>'Datos Actividad'!$U39*'FE Sectorial'!$H42*'FE Sectorial'!L42/1000/1000</f>
        <v>2799.9177631578955</v>
      </c>
      <c r="L43" s="17">
        <f>'Datos Actividad'!$U39*'FE Sectorial'!$H42*'FE Sectorial'!M42/1000/1000</f>
        <v>1399.9588815789477</v>
      </c>
      <c r="M43" s="17">
        <f>'Datos Actividad'!$U39*'FE Sectorial'!$H42*'FE Sectorial'!N42/1000/1000</f>
        <v>186.66118421052636</v>
      </c>
      <c r="N43" s="17">
        <f>'Datos Actividad'!$U39*'FE Sectorial'!$H42*'FE Sectorial'!O42/1000/1000</f>
        <v>0</v>
      </c>
      <c r="O43" s="87">
        <f>IF(D43&lt;400,H43+I43*'Factores generales'!$M$41+J43*'Factores generales'!$N$41,I43*'Factores generales'!$M$41+J43*'Factores generales'!$N$41)</f>
        <v>896309.67434210528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Actividad'!$U40*'FE Sectorial'!$H43*'FE Sectorial'!I43*'FE Sectorial'!P43/1000</f>
        <v>17597.125000000004</v>
      </c>
      <c r="I44" s="17">
        <f>'Datos Actividad'!$U40*'FE Sectorial'!$H43*'FE Sectorial'!J43/1000/1000</f>
        <v>0.18416666666666667</v>
      </c>
      <c r="J44" s="17">
        <f>'Datos Actividad'!$U40*'FE Sectorial'!$H43*'FE Sectorial'!K43/1000/1000</f>
        <v>0.27625000000000005</v>
      </c>
      <c r="K44" s="17">
        <f>'Datos Actividad'!$U40*'FE Sectorial'!$H43*'FE Sectorial'!L43/1000/1000</f>
        <v>55.250000000000007</v>
      </c>
      <c r="L44" s="17">
        <f>'Datos Actividad'!$U40*'FE Sectorial'!$H43*'FE Sectorial'!M43/1000/1000</f>
        <v>27.625000000000004</v>
      </c>
      <c r="M44" s="17">
        <f>'Datos Actividad'!$U40*'FE Sectorial'!$H43*'FE Sectorial'!N43/1000/1000</f>
        <v>3.683333333333334</v>
      </c>
      <c r="N44" s="17">
        <f>'Datos Actividad'!$U40*'FE Sectorial'!$H43*'FE Sectorial'!O43/1000/1000</f>
        <v>0</v>
      </c>
      <c r="O44" s="87">
        <f>IF(D44&lt;400,H44+I44*'Factores generales'!$M$41+J44*'Factores generales'!$N$41,I44*'Factores generales'!$M$41+J44*'Factores generales'!$N$41)</f>
        <v>17686.630000000005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475392.08933884802</v>
      </c>
      <c r="I45" s="134">
        <f t="shared" ref="I45:O45" si="12">I46</f>
        <v>8.5165952639999993</v>
      </c>
      <c r="J45" s="134">
        <f t="shared" si="12"/>
        <v>0.85165952640000009</v>
      </c>
      <c r="K45" s="134">
        <f t="shared" si="12"/>
        <v>1277.4892896000003</v>
      </c>
      <c r="L45" s="134">
        <f t="shared" si="12"/>
        <v>255.49785792</v>
      </c>
      <c r="M45" s="134">
        <f t="shared" si="12"/>
        <v>42.58297632</v>
      </c>
      <c r="N45" s="134">
        <f t="shared" si="12"/>
        <v>0</v>
      </c>
      <c r="O45" s="134">
        <f t="shared" si="12"/>
        <v>475834.95229257597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Actividad'!$U42*'FE Sectorial'!$H45*'FE Sectorial'!I45*'FE Sectorial'!P45/1000</f>
        <v>475392.08933884802</v>
      </c>
      <c r="I46" s="17">
        <f>'Datos Actividad'!$U42*'FE Sectorial'!$H45*'FE Sectorial'!J45/1000/1000</f>
        <v>8.5165952639999993</v>
      </c>
      <c r="J46" s="17">
        <f>'Datos Actividad'!$U42*'FE Sectorial'!$H45*'FE Sectorial'!K45/1000/1000</f>
        <v>0.85165952640000009</v>
      </c>
      <c r="K46" s="17">
        <f>'Datos Actividad'!$U42*'FE Sectorial'!$H45*'FE Sectorial'!L45/1000/1000</f>
        <v>1277.4892896000003</v>
      </c>
      <c r="L46" s="17">
        <f>'Datos Actividad'!$U42*'FE Sectorial'!$H45*'FE Sectorial'!M45/1000/1000</f>
        <v>255.49785792</v>
      </c>
      <c r="M46" s="17">
        <f>'Datos Actividad'!$U42*'FE Sectorial'!$H45*'FE Sectorial'!N45/1000/1000</f>
        <v>42.58297632</v>
      </c>
      <c r="N46" s="17">
        <f>'Datos Actividad'!$U42*'FE Sectorial'!$H45*'FE Sectorial'!O45/1000/1000</f>
        <v>0</v>
      </c>
      <c r="O46" s="87">
        <f>IF(D46&lt;400,H46+I46*'Factores generales'!$M$41+J46*'Factores generales'!$N$41,I46*'Factores generales'!$M$41+J46*'Factores generales'!$N$41)</f>
        <v>475834.95229257597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811224.05787621799</v>
      </c>
      <c r="I47" s="134">
        <f t="shared" ref="I47:O47" si="13">SUM(I48:I55)</f>
        <v>144.14114404357377</v>
      </c>
      <c r="J47" s="134">
        <f t="shared" si="13"/>
        <v>19.788913295921169</v>
      </c>
      <c r="K47" s="134">
        <f t="shared" si="13"/>
        <v>2837.0507086553798</v>
      </c>
      <c r="L47" s="134">
        <f t="shared" si="13"/>
        <v>17732.501435154973</v>
      </c>
      <c r="M47" s="134">
        <f t="shared" si="13"/>
        <v>302.73044356148966</v>
      </c>
      <c r="N47" s="134">
        <f t="shared" si="13"/>
        <v>0</v>
      </c>
      <c r="O47" s="134">
        <f t="shared" si="13"/>
        <v>894054.39614786848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Actividad'!$U44*'FE Sectorial'!$H47*'FE Sectorial'!I47*'FE Sectorial'!P47/1000</f>
        <v>757825.9101365041</v>
      </c>
      <c r="I48" s="17">
        <f>'Datos Actividad'!$U44*'FE Sectorial'!$H47*'FE Sectorial'!J47/1000/1000</f>
        <v>13.576365072</v>
      </c>
      <c r="J48" s="17">
        <f>'Datos Actividad'!$U44*'FE Sectorial'!$H47*'FE Sectorial'!K47/1000/1000</f>
        <v>1.3576365072000001</v>
      </c>
      <c r="K48" s="17">
        <f>'Datos Actividad'!$U44*'FE Sectorial'!$H47*'FE Sectorial'!L47/1000/1000</f>
        <v>2036.4547608000003</v>
      </c>
      <c r="L48" s="17">
        <f>'Datos Actividad'!$U44*'FE Sectorial'!$H47*'FE Sectorial'!M47/1000/1000</f>
        <v>407.29095216000002</v>
      </c>
      <c r="M48" s="17">
        <f>'Datos Actividad'!$U44*'FE Sectorial'!$H47*'FE Sectorial'!N47/1000/1000</f>
        <v>67.881825360000008</v>
      </c>
      <c r="N48" s="17">
        <f>'Datos Actividad'!$U44*'FE Sectorial'!$H47*'FE Sectorial'!O47/1000/1000</f>
        <v>0</v>
      </c>
      <c r="O48" s="87">
        <f>IF(D48&lt;400,H48+I48*'Factores generales'!$M$41+J48*'Factores generales'!$N$41,I48*'Factores generales'!$M$41+J48*'Factores generales'!$N$41)</f>
        <v>758531.881120248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Actividad'!$U45*'FE Sectorial'!$H48*'FE Sectorial'!I48*'FE Sectorial'!P48/1000</f>
        <v>53398.147739713924</v>
      </c>
      <c r="I49" s="17">
        <f>'Datos Actividad'!$U45*'FE Sectorial'!$H48*'FE Sectorial'!J48/1000/1000</f>
        <v>0.93170972466000013</v>
      </c>
      <c r="J49" s="17">
        <f>'Datos Actividad'!$U45*'FE Sectorial'!$H48*'FE Sectorial'!K48/1000/1000</f>
        <v>9.3170972466000007E-2</v>
      </c>
      <c r="K49" s="17">
        <f>'Datos Actividad'!$U45*'FE Sectorial'!$H48*'FE Sectorial'!L48/1000/1000</f>
        <v>139.75645869900001</v>
      </c>
      <c r="L49" s="17">
        <f>'Datos Actividad'!$U45*'FE Sectorial'!$H48*'FE Sectorial'!M48/1000/1000</f>
        <v>27.951291739800002</v>
      </c>
      <c r="M49" s="17">
        <f>'Datos Actividad'!$U45*'FE Sectorial'!$H48*'FE Sectorial'!N48/1000/1000</f>
        <v>4.6585486232999997</v>
      </c>
      <c r="N49" s="17">
        <f>'Datos Actividad'!$U45*'FE Sectorial'!$H48*'FE Sectorial'!O48/1000/1000</f>
        <v>0</v>
      </c>
      <c r="O49" s="87">
        <f>IF(D49&lt;400,H49+I49*'Factores generales'!$M$41+J49*'Factores generales'!$N$41,I49*'Factores generales'!$M$41+J49*'Factores generales'!$N$41)</f>
        <v>53446.596645396246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Actividad'!$U46*'FE Sectorial'!$H49*'FE Sectorial'!I49*'FE Sectorial'!P49/1000</f>
        <v>0</v>
      </c>
      <c r="I50" s="17">
        <f>'Datos Actividad'!$U46*'FE Sectorial'!$H49*'FE Sectorial'!J49/1000/1000</f>
        <v>0</v>
      </c>
      <c r="J50" s="17">
        <f>'Datos Actividad'!$U46*'FE Sectorial'!$H49*'FE Sectorial'!K49/1000/1000</f>
        <v>0</v>
      </c>
      <c r="K50" s="17">
        <f>'Datos Actividad'!$U46*'FE Sectorial'!$H49*'FE Sectorial'!L49/1000/1000</f>
        <v>0</v>
      </c>
      <c r="L50" s="17">
        <f>'Datos Actividad'!$U46*'FE Sectorial'!$H49*'FE Sectorial'!M49/1000/1000</f>
        <v>0</v>
      </c>
      <c r="M50" s="17">
        <f>'Datos Actividad'!$U46*'FE Sectorial'!$H49*'FE Sectorial'!N49/1000/1000</f>
        <v>0</v>
      </c>
      <c r="N50" s="17">
        <f>'Datos Actividad'!$U46*'FE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Actividad'!$U47*'FE Sectorial'!$H50*'FE Sectorial'!I50*'FE Sectorial'!P50/1000</f>
        <v>0</v>
      </c>
      <c r="I51" s="17">
        <f>'Datos Actividad'!$U47*'FE Sectorial'!$H50*'FE Sectorial'!J50/1000/1000</f>
        <v>0</v>
      </c>
      <c r="J51" s="17">
        <f>'Datos Actividad'!$U47*'FE Sectorial'!$H50*'FE Sectorial'!K50/1000/1000</f>
        <v>0</v>
      </c>
      <c r="K51" s="17">
        <f>'Datos Actividad'!$U47*'FE Sectorial'!$H50*'FE Sectorial'!L50/1000/1000</f>
        <v>0</v>
      </c>
      <c r="L51" s="17">
        <f>'Datos Actividad'!$U47*'FE Sectorial'!$H50*'FE Sectorial'!M50/1000/1000</f>
        <v>0</v>
      </c>
      <c r="M51" s="17">
        <f>'Datos Actividad'!$U47*'FE Sectorial'!$H50*'FE Sectorial'!N50/1000/1000</f>
        <v>0</v>
      </c>
      <c r="N51" s="17">
        <f>'Datos Actividad'!$U47*'FE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Actividad'!$U48*'FE Sectorial'!$H51*'FE Sectorial'!I51*'FE Sectorial'!P51/1000</f>
        <v>0</v>
      </c>
      <c r="I52" s="17">
        <f>'Datos Actividad'!$U48*'FE Sectorial'!$H51*'FE Sectorial'!J51/1000/1000</f>
        <v>0</v>
      </c>
      <c r="J52" s="17">
        <f>'Datos Actividad'!$U48*'FE Sectorial'!$H51*'FE Sectorial'!K51/1000/1000</f>
        <v>0</v>
      </c>
      <c r="K52" s="17">
        <f>'Datos Actividad'!$U48*'FE Sectorial'!$H51*'FE Sectorial'!L51/1000/1000</f>
        <v>0</v>
      </c>
      <c r="L52" s="17">
        <f>'Datos Actividad'!$U48*'FE Sectorial'!$H51*'FE Sectorial'!M51/1000/1000</f>
        <v>0</v>
      </c>
      <c r="M52" s="17">
        <f>'Datos Actividad'!$U48*'FE Sectorial'!$H51*'FE Sectorial'!N51/1000/1000</f>
        <v>0</v>
      </c>
      <c r="N52" s="17">
        <f>'Datos Actividad'!$U48*'FE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Actividad'!$U49*'FE Sectorial'!$H52*'FE Sectorial'!I52*'FE Sectorial'!P52/1000</f>
        <v>373700.00806605001</v>
      </c>
      <c r="I53" s="17">
        <f>'Datos Actividad'!$U49*'FE Sectorial'!$H52*'FE Sectorial'!J52/1000/1000</f>
        <v>128.86207174691378</v>
      </c>
      <c r="J53" s="17">
        <f>'Datos Actividad'!$U49*'FE Sectorial'!$H52*'FE Sectorial'!K52/1000/1000</f>
        <v>17.181609566255169</v>
      </c>
      <c r="K53" s="17">
        <f>'Datos Actividad'!$U49*'FE Sectorial'!$H52*'FE Sectorial'!L52/1000/1000</f>
        <v>429.5402391563793</v>
      </c>
      <c r="L53" s="17">
        <f>'Datos Actividad'!$U49*'FE Sectorial'!$H52*'FE Sectorial'!M52/1000/1000</f>
        <v>17181.609566255174</v>
      </c>
      <c r="M53" s="17">
        <f>'Datos Actividad'!$U49*'FE Sectorial'!$H52*'FE Sectorial'!N52/1000/1000</f>
        <v>214.77011957818965</v>
      </c>
      <c r="N53" s="17">
        <f>'Datos Actividad'!$U49*'FE Sectorial'!$H52*'FE Sectorial'!O52/1000/1000</f>
        <v>0</v>
      </c>
      <c r="O53" s="87">
        <f>IF(D53&lt;400,H53+I53*'Factores generales'!$M$41+J53*'Factores generales'!$N$41,I53*'Factores generales'!$M$41+J53*'Factores generales'!$N$41)</f>
        <v>8032.4024722242921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Actividad'!$U50*'FE Sectorial'!$H53*'FE Sectorial'!I53*'FE Sectorial'!P53/1000</f>
        <v>73668.811124999993</v>
      </c>
      <c r="I54" s="17">
        <f>'Datos Actividad'!$U50*'FE Sectorial'!$H53*'FE Sectorial'!J53/1000/1000</f>
        <v>0.77099749999999989</v>
      </c>
      <c r="J54" s="17">
        <f>'Datos Actividad'!$U50*'FE Sectorial'!$H53*'FE Sectorial'!K53/1000/1000</f>
        <v>1.1564962500000002</v>
      </c>
      <c r="K54" s="17">
        <f>'Datos Actividad'!$U50*'FE Sectorial'!$H53*'FE Sectorial'!L53/1000/1000</f>
        <v>231.29925</v>
      </c>
      <c r="L54" s="17">
        <f>'Datos Actividad'!$U50*'FE Sectorial'!$H53*'FE Sectorial'!M53/1000/1000</f>
        <v>115.649625</v>
      </c>
      <c r="M54" s="17">
        <f>'Datos Actividad'!$U50*'FE Sectorial'!$H53*'FE Sectorial'!N53/1000/1000</f>
        <v>15.41995</v>
      </c>
      <c r="N54" s="17">
        <f>'Datos Actividad'!$U50*'FE Sectorial'!$H53*'FE Sectorial'!O53/1000/1000</f>
        <v>0</v>
      </c>
      <c r="O54" s="87">
        <f>IF(D54&lt;400,H54+I54*'Factores generales'!$M$41+J54*'Factores generales'!$N$41,I54*'Factores generales'!$M$41+J54*'Factores generales'!$N$41)</f>
        <v>74043.515909999987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Actividad'!$U51*'FE Sectorial'!$H54*'FE Sectorial'!I54*'FE Sectorial'!P54/1000</f>
        <v>0</v>
      </c>
      <c r="I55" s="17">
        <f>'Datos Actividad'!$U51*'FE Sectorial'!$H54*'FE Sectorial'!J54/1000/1000</f>
        <v>0</v>
      </c>
      <c r="J55" s="17">
        <f>'Datos Actividad'!$U51*'FE Sectorial'!$H54*'FE Sectorial'!K54/1000/1000</f>
        <v>0</v>
      </c>
      <c r="K55" s="17">
        <f>'Datos Actividad'!$U51*'FE Sectorial'!$H54*'FE Sectorial'!L54/1000/1000</f>
        <v>0</v>
      </c>
      <c r="L55" s="17">
        <f>'Datos Actividad'!$U51*'FE Sectorial'!$H54*'FE Sectorial'!M54/1000/1000</f>
        <v>0</v>
      </c>
      <c r="M55" s="17">
        <f>'Datos Actividad'!$U51*'FE Sectorial'!$H54*'FE Sectorial'!N54/1000/1000</f>
        <v>0</v>
      </c>
      <c r="N55" s="17">
        <f>'Datos Actividad'!$U51*'FE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759733.08829466405</v>
      </c>
      <c r="I56" s="134">
        <f>SUM(I57:I62)</f>
        <v>487.75682417891375</v>
      </c>
      <c r="J56" s="134">
        <f t="shared" ref="J56:O56" si="14">SUM(J57:J62)</f>
        <v>64.580558825455171</v>
      </c>
      <c r="K56" s="134">
        <f t="shared" si="14"/>
        <v>3622.0674335563795</v>
      </c>
      <c r="L56" s="134">
        <f t="shared" si="14"/>
        <v>58832.953796815171</v>
      </c>
      <c r="M56" s="134">
        <f t="shared" si="14"/>
        <v>858.29648013818962</v>
      </c>
      <c r="N56" s="134">
        <f t="shared" si="14"/>
        <v>614.72663999999997</v>
      </c>
      <c r="O56" s="134">
        <f t="shared" si="14"/>
        <v>789995.95483831235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Actividad'!$U53*'FE Sectorial'!$H56*'FE Sectorial'!I56*'FE Sectorial'!P56/1000</f>
        <v>759733.08829466405</v>
      </c>
      <c r="I57" s="17">
        <f>'Datos Actividad'!$U53*'FE Sectorial'!$H56*'FE Sectorial'!J56/1000/1000</f>
        <v>13.610531951999999</v>
      </c>
      <c r="J57" s="17">
        <f>'Datos Actividad'!$U53*'FE Sectorial'!$H56*'FE Sectorial'!K56/1000/1000</f>
        <v>1.3610531951999998</v>
      </c>
      <c r="K57" s="17">
        <f>'Datos Actividad'!$U53*'FE Sectorial'!$H56*'FE Sectorial'!L56/1000/1000</f>
        <v>2041.5797928</v>
      </c>
      <c r="L57" s="17">
        <f>'Datos Actividad'!$U53*'FE Sectorial'!$H56*'FE Sectorial'!M56/1000/1000</f>
        <v>408.31595856000001</v>
      </c>
      <c r="M57" s="17">
        <f>'Datos Actividad'!$U53*'FE Sectorial'!$H56*'FE Sectorial'!N56/1000/1000</f>
        <v>68.052659759999997</v>
      </c>
      <c r="N57" s="17">
        <f>'Datos Actividad'!$U53*'FE Sectorial'!$H56*'FE Sectorial'!O56/1000/1000</f>
        <v>0</v>
      </c>
      <c r="O57" s="87">
        <f>IF(D57&lt;400,H57+I57*'Factores generales'!$M$41+J57*'Factores generales'!$N$41,I57*'Factores generales'!$M$41+J57*'Factores generales'!$N$41)</f>
        <v>760440.83595616801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Actividad'!$U54*'FE Sectorial'!$H57*'FE Sectorial'!I57*'FE Sectorial'!P57/1000</f>
        <v>0</v>
      </c>
      <c r="I58" s="17">
        <f>'Datos Actividad'!$U54*'FE Sectorial'!$H57*'FE Sectorial'!J57/1000/1000</f>
        <v>0</v>
      </c>
      <c r="J58" s="17">
        <f>'Datos Actividad'!$U54*'FE Sectorial'!$H57*'FE Sectorial'!K57/1000/1000</f>
        <v>0</v>
      </c>
      <c r="K58" s="17">
        <f>'Datos Actividad'!$U54*'FE Sectorial'!$H57*'FE Sectorial'!L57/1000/1000</f>
        <v>0</v>
      </c>
      <c r="L58" s="17">
        <f>'Datos Actividad'!$U54*'FE Sectorial'!$H57*'FE Sectorial'!M57/1000/1000</f>
        <v>0</v>
      </c>
      <c r="M58" s="17">
        <f>'Datos Actividad'!$U54*'FE Sectorial'!$H57*'FE Sectorial'!N57/1000/1000</f>
        <v>0</v>
      </c>
      <c r="N58" s="17">
        <f>'Datos Actividad'!$U54*'FE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Actividad'!$U55*'FE Sectorial'!$H58*'FE Sectorial'!I58*'FE Sectorial'!P58/1000</f>
        <v>0</v>
      </c>
      <c r="I59" s="17">
        <f>'Datos Actividad'!$U55*'FE Sectorial'!$H58*'FE Sectorial'!J58/1000/1000</f>
        <v>0</v>
      </c>
      <c r="J59" s="17">
        <f>'Datos Actividad'!$U55*'FE Sectorial'!$H58*'FE Sectorial'!K58/1000/1000</f>
        <v>0</v>
      </c>
      <c r="K59" s="17">
        <f>'Datos Actividad'!$U55*'FE Sectorial'!$H58*'FE Sectorial'!L58/1000/1000</f>
        <v>0</v>
      </c>
      <c r="L59" s="17">
        <f>'Datos Actividad'!$U55*'FE Sectorial'!$H58*'FE Sectorial'!M58/1000/1000</f>
        <v>0</v>
      </c>
      <c r="M59" s="17">
        <f>'Datos Actividad'!$U55*'FE Sectorial'!$H58*'FE Sectorial'!N58/1000/1000</f>
        <v>0</v>
      </c>
      <c r="N59" s="17">
        <f>'Datos Actividad'!$U55*'FE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Actividad'!$U56*'FE Sectorial'!$H59*'FE Sectorial'!I59*'FE Sectorial'!P59/1000</f>
        <v>720359.59284000006</v>
      </c>
      <c r="I60" s="17">
        <f>'Datos Actividad'!$U56*'FE Sectorial'!$H59*'FE Sectorial'!J59/1000/1000</f>
        <v>248.39985960000001</v>
      </c>
      <c r="J60" s="17">
        <f>'Datos Actividad'!$U56*'FE Sectorial'!$H59*'FE Sectorial'!K59/1000/1000</f>
        <v>33.119981279999998</v>
      </c>
      <c r="K60" s="17">
        <f>'Datos Actividad'!$U56*'FE Sectorial'!$H59*'FE Sectorial'!L59/1000/1000</f>
        <v>827.99953200000004</v>
      </c>
      <c r="L60" s="17">
        <f>'Datos Actividad'!$U56*'FE Sectorial'!$H59*'FE Sectorial'!M59/1000/1000</f>
        <v>33119.98128</v>
      </c>
      <c r="M60" s="17">
        <f>'Datos Actividad'!$U56*'FE Sectorial'!$H59*'FE Sectorial'!N59/1000/1000</f>
        <v>413.99976600000002</v>
      </c>
      <c r="N60" s="17">
        <f>'Datos Actividad'!$U56*'FE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15483.5912484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Actividad'!$U57*'FE Sectorial'!$H60*'FE Sectorial'!I60*'FE Sectorial'!P60/1000</f>
        <v>233605.95882624001</v>
      </c>
      <c r="I61" s="17">
        <f>'Datos Actividad'!$U57*'FE Sectorial'!$H60*'FE Sectorial'!J60/1000/1000</f>
        <v>71.923016880000006</v>
      </c>
      <c r="J61" s="17">
        <f>'Datos Actividad'!$U57*'FE Sectorial'!$H60*'FE Sectorial'!K60/1000/1000</f>
        <v>9.5897355839999996</v>
      </c>
      <c r="K61" s="17">
        <f>'Datos Actividad'!$U57*'FE Sectorial'!$H60*'FE Sectorial'!L60/1000/1000</f>
        <v>239.74338960000003</v>
      </c>
      <c r="L61" s="17">
        <f>'Datos Actividad'!$U57*'FE Sectorial'!$H60*'FE Sectorial'!M60/1000/1000</f>
        <v>4794.867792</v>
      </c>
      <c r="M61" s="17">
        <f>'Datos Actividad'!$U57*'FE Sectorial'!$H60*'FE Sectorial'!N60/1000/1000</f>
        <v>119.87169480000001</v>
      </c>
      <c r="N61" s="17">
        <f>'Datos Actividad'!$U57*'FE Sectorial'!$H60*'FE Sectorial'!O60/1000/1000</f>
        <v>614.72663999999997</v>
      </c>
      <c r="O61" s="87">
        <f>IF(D61&lt;400,H61+I61*'Factores generales'!$M$41+J61*'Factores generales'!$N$41,I61*'Factores generales'!$M$41+J61*'Factores generales'!$N$41)</f>
        <v>4483.2013855200003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Actividad'!$U58*'FE Sectorial'!$H61*'FE Sectorial'!I61*'FE Sectorial'!P61/1000</f>
        <v>446087.90566604992</v>
      </c>
      <c r="I62" s="17">
        <f>'Datos Actividad'!$U58*'FE Sectorial'!$H61*'FE Sectorial'!J61/1000/1000</f>
        <v>153.82341574691378</v>
      </c>
      <c r="J62" s="17">
        <f>'Datos Actividad'!$U58*'FE Sectorial'!$H61*'FE Sectorial'!K61/1000/1000</f>
        <v>20.50978876625517</v>
      </c>
      <c r="K62" s="17">
        <f>'Datos Actividad'!$U58*'FE Sectorial'!$H61*'FE Sectorial'!L61/1000/1000</f>
        <v>512.74471915637923</v>
      </c>
      <c r="L62" s="17">
        <f>'Datos Actividad'!$U58*'FE Sectorial'!$H61*'FE Sectorial'!M61/1000/1000</f>
        <v>20509.788766255169</v>
      </c>
      <c r="M62" s="17">
        <f>'Datos Actividad'!$U58*'FE Sectorial'!$H61*'FE Sectorial'!N61/1000/1000</f>
        <v>256.37235957818962</v>
      </c>
      <c r="N62" s="17">
        <f>'Datos Actividad'!$U58*'FE Sectorial'!$H61*'FE Sectorial'!O61/1000/1000</f>
        <v>0</v>
      </c>
      <c r="O62" s="87">
        <f>IF(D62&lt;400,H62+I62*'Factores generales'!$M$41+J62*'Factores generales'!$N$41,I62*'Factores generales'!$M$41+J62*'Factores generales'!$N$41)</f>
        <v>9588.3262482242935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2185730.1971508963</v>
      </c>
      <c r="I63" s="134">
        <f>SUM(I64:I69)</f>
        <v>1585.3055313949137</v>
      </c>
      <c r="J63" s="134">
        <f t="shared" ref="J63:O63" si="15">SUM(J64:J69)</f>
        <v>210.06883391505519</v>
      </c>
      <c r="K63" s="134">
        <f t="shared" si="15"/>
        <v>11027.394296756378</v>
      </c>
      <c r="L63" s="134">
        <f t="shared" si="15"/>
        <v>207279.40333809517</v>
      </c>
      <c r="M63" s="134">
        <f t="shared" si="15"/>
        <v>2772.6995794181894</v>
      </c>
      <c r="N63" s="134">
        <f t="shared" si="15"/>
        <v>6.2093599999999993</v>
      </c>
      <c r="O63" s="134">
        <f t="shared" si="15"/>
        <v>2284142.9518238567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Actividad'!$U60*'FE Sectorial'!$H63*'FE Sectorial'!I63*'FE Sectorial'!P63/1000</f>
        <v>2185730.1971508963</v>
      </c>
      <c r="I64" s="17">
        <f>'Datos Actividad'!$U60*'FE Sectorial'!$H63*'FE Sectorial'!J63/1000/1000</f>
        <v>39.157108127999997</v>
      </c>
      <c r="J64" s="17">
        <f>'Datos Actividad'!$U60*'FE Sectorial'!$H63*'FE Sectorial'!K63/1000/1000</f>
        <v>3.9157108128</v>
      </c>
      <c r="K64" s="17">
        <f>'Datos Actividad'!$U60*'FE Sectorial'!$H63*'FE Sectorial'!L63/1000/1000</f>
        <v>5873.5662192</v>
      </c>
      <c r="L64" s="17">
        <f>'Datos Actividad'!$U60*'FE Sectorial'!$H63*'FE Sectorial'!M63/1000/1000</f>
        <v>1174.7132438399999</v>
      </c>
      <c r="M64" s="17">
        <f>'Datos Actividad'!$U60*'FE Sectorial'!$H63*'FE Sectorial'!N63/1000/1000</f>
        <v>195.78554063999999</v>
      </c>
      <c r="N64" s="17">
        <f>'Datos Actividad'!$U60*'FE Sectorial'!$H63*'FE Sectorial'!O63/1000/1000</f>
        <v>0</v>
      </c>
      <c r="O64" s="87">
        <f>IF(D64&lt;400,H64+I64*'Factores generales'!$M$41+J64*'Factores generales'!$N$41,I64*'Factores generales'!$M$41+J64*'Factores generales'!$N$41)</f>
        <v>2187766.3667735523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Actividad'!$U61*'FE Sectorial'!$H64*'FE Sectorial'!I64*'FE Sectorial'!P64/1000</f>
        <v>0</v>
      </c>
      <c r="I65" s="17">
        <f>'Datos Actividad'!$U61*'FE Sectorial'!$H64*'FE Sectorial'!J64/1000/1000</f>
        <v>0</v>
      </c>
      <c r="J65" s="17">
        <f>'Datos Actividad'!$U61*'FE Sectorial'!$H64*'FE Sectorial'!K64/1000/1000</f>
        <v>0</v>
      </c>
      <c r="K65" s="17">
        <f>'Datos Actividad'!$U61*'FE Sectorial'!$H64*'FE Sectorial'!L64/1000/1000</f>
        <v>0</v>
      </c>
      <c r="L65" s="17">
        <f>'Datos Actividad'!$U61*'FE Sectorial'!$H64*'FE Sectorial'!M64/1000/1000</f>
        <v>0</v>
      </c>
      <c r="M65" s="17">
        <f>'Datos Actividad'!$U61*'FE Sectorial'!$H64*'FE Sectorial'!N64/1000/1000</f>
        <v>0</v>
      </c>
      <c r="N65" s="17">
        <f>'Datos Actividad'!$U61*'FE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Actividad'!$U62*'FE Sectorial'!$H65*'FE Sectorial'!I65*'FE Sectorial'!P65/1000</f>
        <v>0</v>
      </c>
      <c r="I66" s="17">
        <f>'Datos Actividad'!$U62*'FE Sectorial'!$H65*'FE Sectorial'!J65/1000/1000</f>
        <v>0</v>
      </c>
      <c r="J66" s="17">
        <f>'Datos Actividad'!$U62*'FE Sectorial'!$H65*'FE Sectorial'!K65/1000/1000</f>
        <v>0</v>
      </c>
      <c r="K66" s="17">
        <f>'Datos Actividad'!$U62*'FE Sectorial'!$H65*'FE Sectorial'!L65/1000/1000</f>
        <v>0</v>
      </c>
      <c r="L66" s="17">
        <f>'Datos Actividad'!$U62*'FE Sectorial'!$H65*'FE Sectorial'!M65/1000/1000</f>
        <v>0</v>
      </c>
      <c r="M66" s="17">
        <f>'Datos Actividad'!$U62*'FE Sectorial'!$H65*'FE Sectorial'!N65/1000/1000</f>
        <v>0</v>
      </c>
      <c r="N66" s="17">
        <f>'Datos Actividad'!$U62*'FE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Actividad'!$U63*'FE Sectorial'!$H66*'FE Sectorial'!I66*'FE Sectorial'!P66/1000</f>
        <v>4082037.6927599995</v>
      </c>
      <c r="I67" s="17">
        <f>'Datos Actividad'!$U63*'FE Sectorial'!$H66*'FE Sectorial'!J66/1000/1000</f>
        <v>1407.5992044000002</v>
      </c>
      <c r="J67" s="17">
        <f>'Datos Actividad'!$U63*'FE Sectorial'!$H66*'FE Sectorial'!K66/1000/1000</f>
        <v>187.67989392000001</v>
      </c>
      <c r="K67" s="17">
        <f>'Datos Actividad'!$U63*'FE Sectorial'!$H66*'FE Sectorial'!L66/1000/1000</f>
        <v>4691.9973479999999</v>
      </c>
      <c r="L67" s="17">
        <f>'Datos Actividad'!$U63*'FE Sectorial'!$H66*'FE Sectorial'!M66/1000/1000</f>
        <v>187679.89392</v>
      </c>
      <c r="M67" s="17">
        <f>'Datos Actividad'!$U63*'FE Sectorial'!$H66*'FE Sectorial'!N66/1000/1000</f>
        <v>2345.9986739999999</v>
      </c>
      <c r="N67" s="17">
        <f>'Datos Actividad'!$U63*'FE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87740.35040760001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Actividad'!$U64*'FE Sectorial'!$H67*'FE Sectorial'!I67*'FE Sectorial'!P67/1000</f>
        <v>2359.6561497600001</v>
      </c>
      <c r="I68" s="17">
        <f>'Datos Actividad'!$U64*'FE Sectorial'!$H67*'FE Sectorial'!J67/1000/1000</f>
        <v>0.72649512000000005</v>
      </c>
      <c r="J68" s="17">
        <f>'Datos Actividad'!$U64*'FE Sectorial'!$H67*'FE Sectorial'!K67/1000/1000</f>
        <v>9.6866015999999999E-2</v>
      </c>
      <c r="K68" s="17">
        <f>'Datos Actividad'!$U64*'FE Sectorial'!$H67*'FE Sectorial'!L67/1000/1000</f>
        <v>2.4216503999999999</v>
      </c>
      <c r="L68" s="17">
        <f>'Datos Actividad'!$U64*'FE Sectorial'!$H67*'FE Sectorial'!M67/1000/1000</f>
        <v>48.433008000000001</v>
      </c>
      <c r="M68" s="17">
        <f>'Datos Actividad'!$U64*'FE Sectorial'!$H67*'FE Sectorial'!N67/1000/1000</f>
        <v>1.2108251999999999</v>
      </c>
      <c r="N68" s="17">
        <f>'Datos Actividad'!$U64*'FE Sectorial'!$H67*'FE Sectorial'!O67/1000/1000</f>
        <v>6.2093599999999993</v>
      </c>
      <c r="O68" s="87">
        <f>IF(D68&lt;400,H68+I68*'Factores generales'!$M$41+J68*'Factores generales'!$N$41,I68*'Factores generales'!$M$41+J68*'Factores generales'!$N$41)</f>
        <v>45.284862480000001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Actividad'!$U65*'FE Sectorial'!$H68*'FE Sectorial'!I68*'FE Sectorial'!P68/1000</f>
        <v>399685.89886604995</v>
      </c>
      <c r="I69" s="17">
        <f>'Datos Actividad'!$U65*'FE Sectorial'!$H68*'FE Sectorial'!J68/1000/1000</f>
        <v>137.82272374691374</v>
      </c>
      <c r="J69" s="17">
        <f>'Datos Actividad'!$U65*'FE Sectorial'!$H68*'FE Sectorial'!K68/1000/1000</f>
        <v>18.376363166255167</v>
      </c>
      <c r="K69" s="17">
        <f>'Datos Actividad'!$U65*'FE Sectorial'!$H68*'FE Sectorial'!L68/1000/1000</f>
        <v>459.40907915637922</v>
      </c>
      <c r="L69" s="17">
        <f>'Datos Actividad'!$U65*'FE Sectorial'!$H68*'FE Sectorial'!M68/1000/1000</f>
        <v>18376.363166255167</v>
      </c>
      <c r="M69" s="17">
        <f>'Datos Actividad'!$U65*'FE Sectorial'!$H68*'FE Sectorial'!N68/1000/1000</f>
        <v>229.70453957818961</v>
      </c>
      <c r="N69" s="17">
        <f>'Datos Actividad'!$U65*'FE Sectorial'!$H68*'FE Sectorial'!O68/1000/1000</f>
        <v>0</v>
      </c>
      <c r="O69" s="87">
        <f>IF(D69&lt;400,H69+I69*'Factores generales'!$M$41+J69*'Factores generales'!$N$41,I69*'Factores generales'!$M$41+J69*'Factores generales'!$N$41)</f>
        <v>8590.9497802242913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9362177.9570064861</v>
      </c>
      <c r="I70" s="134">
        <f t="shared" si="16"/>
        <v>424.39472145951095</v>
      </c>
      <c r="J70" s="134">
        <f t="shared" si="16"/>
        <v>62.38398489497618</v>
      </c>
      <c r="K70" s="134">
        <f t="shared" si="16"/>
        <v>25834.467398336972</v>
      </c>
      <c r="L70" s="134">
        <f t="shared" si="16"/>
        <v>26589.845125818843</v>
      </c>
      <c r="M70" s="134">
        <f t="shared" si="16"/>
        <v>1176.0963866643951</v>
      </c>
      <c r="N70" s="134">
        <f t="shared" si="16"/>
        <v>5670.8795026011285</v>
      </c>
      <c r="O70" s="134">
        <f t="shared" si="16"/>
        <v>9390429.2814745791</v>
      </c>
    </row>
    <row r="71" spans="1:15" outlineLevel="1" x14ac:dyDescent="0.25">
      <c r="B71" s="1" t="s">
        <v>36</v>
      </c>
      <c r="G71" s="1"/>
      <c r="H71" s="15">
        <f>H72+H73+H74+H76</f>
        <v>2507941.3437967114</v>
      </c>
      <c r="I71" s="15">
        <f>SUM(I72:I76)</f>
        <v>136.31516180084211</v>
      </c>
      <c r="J71" s="15">
        <f t="shared" ref="J71:O71" si="17">SUM(J72:J76)</f>
        <v>21.106943811663157</v>
      </c>
      <c r="K71" s="15">
        <f t="shared" si="17"/>
        <v>7185.9272306526318</v>
      </c>
      <c r="L71" s="15">
        <f t="shared" si="17"/>
        <v>7894.777222446316</v>
      </c>
      <c r="M71" s="15">
        <f t="shared" si="17"/>
        <v>416.24110505684212</v>
      </c>
      <c r="N71" s="15">
        <f t="shared" si="17"/>
        <v>800</v>
      </c>
      <c r="O71" s="15">
        <f t="shared" si="17"/>
        <v>2517347.1147761447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Actividad'!$U68*'FE Sectorial'!$H71*'FE Sectorial'!I71*'FE Sectorial'!P71/1000</f>
        <v>2210683.407941448</v>
      </c>
      <c r="I72" s="17">
        <f>'Datos Actividad'!$U68*'FE Sectorial'!$H71*'FE Sectorial'!J71/1000/1000</f>
        <v>39.604142064000001</v>
      </c>
      <c r="J72" s="17">
        <f>'Datos Actividad'!$U68*'FE Sectorial'!$H71*'FE Sectorial'!K71/1000/1000</f>
        <v>3.9604142064000007</v>
      </c>
      <c r="K72" s="17">
        <f>'Datos Actividad'!$U68*'FE Sectorial'!$H71*'FE Sectorial'!L71/1000/1000</f>
        <v>5940.6213096000001</v>
      </c>
      <c r="L72" s="17">
        <f>'Datos Actividad'!$U68*'FE Sectorial'!$H71*'FE Sectorial'!M71/1000/1000</f>
        <v>1188.12426192</v>
      </c>
      <c r="M72" s="17">
        <f>'Datos Actividad'!$U68*'FE Sectorial'!$H71*'FE Sectorial'!N71/1000/1000</f>
        <v>198.02071032000001</v>
      </c>
      <c r="N72" s="17">
        <f>'Datos Actividad'!$U68*'FE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2212742.8233287763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Actividad'!$U69*'FE Sectorial'!$H72*'FE Sectorial'!I72*'FE Sectorial'!P72/1000</f>
        <v>0</v>
      </c>
      <c r="I73" s="17">
        <f>'Datos Actividad'!$U69*'FE Sectorial'!$H72*'FE Sectorial'!J72/1000/1000</f>
        <v>0</v>
      </c>
      <c r="J73" s="17">
        <f>'Datos Actividad'!$U69*'FE Sectorial'!$H72*'FE Sectorial'!K72/1000/1000</f>
        <v>0</v>
      </c>
      <c r="K73" s="17">
        <f>'Datos Actividad'!$U69*'FE Sectorial'!$H72*'FE Sectorial'!L72/1000/1000</f>
        <v>0</v>
      </c>
      <c r="L73" s="17">
        <f>'Datos Actividad'!$U69*'FE Sectorial'!$H72*'FE Sectorial'!M72/1000/1000</f>
        <v>0</v>
      </c>
      <c r="M73" s="17">
        <f>'Datos Actividad'!$U69*'FE Sectorial'!$H72*'FE Sectorial'!N72/1000/1000</f>
        <v>0</v>
      </c>
      <c r="N73" s="17">
        <f>'Datos Actividad'!$U69*'FE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Actividad'!$U70*'FE Sectorial'!$H73*'FE Sectorial'!I73*'FE Sectorial'!P73/1000</f>
        <v>297257.93585526315</v>
      </c>
      <c r="I74" s="17">
        <f>'Datos Actividad'!$U70*'FE Sectorial'!$H73*'FE Sectorial'!J73/1000/1000</f>
        <v>3.1110197368421053</v>
      </c>
      <c r="J74" s="17">
        <f>'Datos Actividad'!$U70*'FE Sectorial'!$H73*'FE Sectorial'!K73/1000/1000</f>
        <v>4.6665296052631584</v>
      </c>
      <c r="K74" s="17">
        <f>'Datos Actividad'!$U70*'FE Sectorial'!$H73*'FE Sectorial'!L73/1000/1000</f>
        <v>933.30592105263167</v>
      </c>
      <c r="L74" s="17">
        <f>'Datos Actividad'!$U70*'FE Sectorial'!$H73*'FE Sectorial'!M73/1000/1000</f>
        <v>466.65296052631584</v>
      </c>
      <c r="M74" s="17">
        <f>'Datos Actividad'!$U70*'FE Sectorial'!$H73*'FE Sectorial'!N73/1000/1000</f>
        <v>62.220394736842117</v>
      </c>
      <c r="N74" s="17">
        <f>'Datos Actividad'!$U70*'FE Sectorial'!$H73*'FE Sectorial'!O73/1000/1000</f>
        <v>0</v>
      </c>
      <c r="O74" s="87">
        <f>IF(D74&lt;400,H74+I74*'Factores generales'!$M$41+J74*'Factores generales'!$N$41,I74*'Factores generales'!$M$41+J74*'Factores generales'!$N$41)</f>
        <v>298769.89144736843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Actividad'!$U71*'FE Sectorial'!$H74*'FE Sectorial'!I74*'FE Sectorial'!P74/1000</f>
        <v>304012.79999999999</v>
      </c>
      <c r="I75" s="17">
        <f>'Datos Actividad'!$U71*'FE Sectorial'!$H74*'FE Sectorial'!J74/1000/1000</f>
        <v>93.6</v>
      </c>
      <c r="J75" s="17">
        <f>'Datos Actividad'!$U71*'FE Sectorial'!$H74*'FE Sectorial'!K74/1000/1000</f>
        <v>12.48</v>
      </c>
      <c r="K75" s="17">
        <f>'Datos Actividad'!$U71*'FE Sectorial'!$H74*'FE Sectorial'!L74/1000/1000</f>
        <v>312</v>
      </c>
      <c r="L75" s="17">
        <f>'Datos Actividad'!$U71*'FE Sectorial'!$H74*'FE Sectorial'!M74/1000/1000</f>
        <v>6240</v>
      </c>
      <c r="M75" s="17">
        <f>'Datos Actividad'!$U71*'FE Sectorial'!$H74*'FE Sectorial'!N74/1000/1000</f>
        <v>156</v>
      </c>
      <c r="N75" s="17">
        <f>'Datos Actividad'!$U71*'FE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Actividad'!$U72*'FE Sectorial'!$H75*'FE Sectorial'!I75*'FE Sectorial'!P75/1000</f>
        <v>0</v>
      </c>
      <c r="I76" s="17">
        <f>'Datos Actividad'!$U72*'FE Sectorial'!$H75*'FE Sectorial'!J75/1000/1000</f>
        <v>0</v>
      </c>
      <c r="J76" s="17">
        <f>'Datos Actividad'!$U72*'FE Sectorial'!$H75*'FE Sectorial'!K75/1000/1000</f>
        <v>0</v>
      </c>
      <c r="K76" s="17">
        <f>'Datos Actividad'!$U72*'FE Sectorial'!$H75*'FE Sectorial'!L75/1000/1000</f>
        <v>0</v>
      </c>
      <c r="L76" s="17">
        <f>'Datos Actividad'!$U72*'FE Sectorial'!$H75*'FE Sectorial'!M75/1000/1000</f>
        <v>0</v>
      </c>
      <c r="M76" s="17">
        <f>'Datos Actividad'!$U72*'FE Sectorial'!$H75*'FE Sectorial'!N75/1000/1000</f>
        <v>0</v>
      </c>
      <c r="N76" s="17">
        <f>'Datos Actividad'!$U72*'FE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150563.04659510401</v>
      </c>
      <c r="I77" s="15">
        <f t="shared" si="18"/>
        <v>2.697319872</v>
      </c>
      <c r="J77" s="15">
        <f t="shared" si="18"/>
        <v>0.26973198720000002</v>
      </c>
      <c r="K77" s="15">
        <f t="shared" si="18"/>
        <v>404.59798080000002</v>
      </c>
      <c r="L77" s="15">
        <f t="shared" si="18"/>
        <v>80.919596159999998</v>
      </c>
      <c r="M77" s="15">
        <f t="shared" si="18"/>
        <v>13.48659936</v>
      </c>
      <c r="N77" s="15">
        <f t="shared" si="18"/>
        <v>0</v>
      </c>
      <c r="O77" s="15">
        <f t="shared" si="18"/>
        <v>150703.30722844801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Actividad'!$U74*'FE Sectorial'!$H77*'FE Sectorial'!I77*'FE Sectorial'!P77/1000</f>
        <v>150563.04659510401</v>
      </c>
      <c r="I78" s="17">
        <f>'Datos Actividad'!$U74*'FE Sectorial'!$H77*'FE Sectorial'!J77/1000/1000</f>
        <v>2.697319872</v>
      </c>
      <c r="J78" s="17">
        <f>'Datos Actividad'!$U74*'FE Sectorial'!$H77*'FE Sectorial'!K77/1000/1000</f>
        <v>0.26973198720000002</v>
      </c>
      <c r="K78" s="17">
        <f>'Datos Actividad'!$U74*'FE Sectorial'!$H77*'FE Sectorial'!L77/1000/1000</f>
        <v>404.59798080000002</v>
      </c>
      <c r="L78" s="17">
        <f>'Datos Actividad'!$U74*'FE Sectorial'!$H77*'FE Sectorial'!M77/1000/1000</f>
        <v>80.919596159999998</v>
      </c>
      <c r="M78" s="17">
        <f>'Datos Actividad'!$U74*'FE Sectorial'!$H77*'FE Sectorial'!N77/1000/1000</f>
        <v>13.48659936</v>
      </c>
      <c r="N78" s="17">
        <f>'Datos Actividad'!$U74*'FE Sectorial'!$H77*'FE Sectorial'!O77/1000/1000</f>
        <v>0</v>
      </c>
      <c r="O78" s="87">
        <f>IF(D78&lt;400,H78+I78*'Factores generales'!$M$41+J78*'Factores generales'!$N$41,I78*'Factores generales'!$M$41+J78*'Factores generales'!$N$41)</f>
        <v>150703.30722844801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Actividad'!$U75*'FE Sectorial'!$H78*'FE Sectorial'!I78*'FE Sectorial'!P78/1000</f>
        <v>0</v>
      </c>
      <c r="I79" s="17">
        <f>'Datos Actividad'!$U75*'FE Sectorial'!$H78*'FE Sectorial'!J78/1000/1000</f>
        <v>0</v>
      </c>
      <c r="J79" s="17">
        <f>'Datos Actividad'!$U75*'FE Sectorial'!$H78*'FE Sectorial'!K78/1000/1000</f>
        <v>0</v>
      </c>
      <c r="K79" s="17">
        <f>'Datos Actividad'!$U75*'FE Sectorial'!$H78*'FE Sectorial'!L78/1000/1000</f>
        <v>0</v>
      </c>
      <c r="L79" s="17">
        <f>'Datos Actividad'!$U75*'FE Sectorial'!$H78*'FE Sectorial'!M78/1000/1000</f>
        <v>0</v>
      </c>
      <c r="M79" s="17">
        <f>'Datos Actividad'!$U75*'FE Sectorial'!$H78*'FE Sectorial'!N78/1000/1000</f>
        <v>0</v>
      </c>
      <c r="N79" s="17">
        <f>'Datos Actividad'!$U75*'FE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71486.431407072014</v>
      </c>
      <c r="I80" s="15">
        <f>SUM(I81:I85)</f>
        <v>119.89692704291377</v>
      </c>
      <c r="J80" s="15">
        <f t="shared" ref="J80:O80" si="19">SUM(J81:J85)</f>
        <v>15.943567895855171</v>
      </c>
      <c r="K80" s="15">
        <f t="shared" si="19"/>
        <v>587.48821355637915</v>
      </c>
      <c r="L80" s="15">
        <f t="shared" si="19"/>
        <v>15853.92090513517</v>
      </c>
      <c r="M80" s="15">
        <f t="shared" si="19"/>
        <v>204.09711605818961</v>
      </c>
      <c r="N80" s="15">
        <f t="shared" si="19"/>
        <v>0</v>
      </c>
      <c r="O80" s="15">
        <f t="shared" si="19"/>
        <v>78946.772922688309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Actividad'!$U77*'FE Sectorial'!$H80*'FE Sectorial'!I80*'FE Sectorial'!P80/1000</f>
        <v>71486.431407072014</v>
      </c>
      <c r="I81" s="17">
        <f>'Datos Actividad'!$U77*'FE Sectorial'!$H80*'FE Sectorial'!J80/1000/1000</f>
        <v>1.280671296</v>
      </c>
      <c r="J81" s="17">
        <f>'Datos Actividad'!$U77*'FE Sectorial'!$H80*'FE Sectorial'!K80/1000/1000</f>
        <v>0.12806712960000002</v>
      </c>
      <c r="K81" s="17">
        <f>'Datos Actividad'!$U77*'FE Sectorial'!$H80*'FE Sectorial'!L80/1000/1000</f>
        <v>192.10069440000001</v>
      </c>
      <c r="L81" s="17">
        <f>'Datos Actividad'!$U77*'FE Sectorial'!$H80*'FE Sectorial'!M80/1000/1000</f>
        <v>38.420138880000003</v>
      </c>
      <c r="M81" s="17">
        <f>'Datos Actividad'!$U77*'FE Sectorial'!$H80*'FE Sectorial'!N80/1000/1000</f>
        <v>6.4033564800000002</v>
      </c>
      <c r="N81" s="17">
        <f>'Datos Actividad'!$U77*'FE Sectorial'!$H80*'FE Sectorial'!O80/1000/1000</f>
        <v>0</v>
      </c>
      <c r="O81" s="87">
        <f>IF(D81&lt;400,H81+I81*'Factores generales'!$M$41+J81*'Factores generales'!$N$41,I81*'Factores generales'!$M$41+J81*'Factores generales'!$N$41)</f>
        <v>71553.026314464019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Actividad'!$U78*'FE Sectorial'!$H81*'FE Sectorial'!I81*'FE Sectorial'!P81/1000</f>
        <v>0</v>
      </c>
      <c r="I82" s="17">
        <f>'Datos Actividad'!$U78*'FE Sectorial'!$H81*'FE Sectorial'!J81/1000/1000</f>
        <v>0</v>
      </c>
      <c r="J82" s="17">
        <f>'Datos Actividad'!$U78*'FE Sectorial'!$H81*'FE Sectorial'!K81/1000/1000</f>
        <v>0</v>
      </c>
      <c r="K82" s="17">
        <f>'Datos Actividad'!$U78*'FE Sectorial'!$H81*'FE Sectorial'!L81/1000/1000</f>
        <v>0</v>
      </c>
      <c r="L82" s="17">
        <f>'Datos Actividad'!$U78*'FE Sectorial'!$H81*'FE Sectorial'!M81/1000/1000</f>
        <v>0</v>
      </c>
      <c r="M82" s="17">
        <f>'Datos Actividad'!$U78*'FE Sectorial'!$H81*'FE Sectorial'!N81/1000/1000</f>
        <v>0</v>
      </c>
      <c r="N82" s="17">
        <f>'Datos Actividad'!$U78*'FE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Actividad'!$U79*'FE Sectorial'!$H82*'FE Sectorial'!I82*'FE Sectorial'!P82/1000</f>
        <v>0</v>
      </c>
      <c r="I83" s="95">
        <f>'Datos Actividad'!$U79*'FE Sectorial'!$H82*'FE Sectorial'!J82/1000/1000</f>
        <v>0</v>
      </c>
      <c r="J83" s="17">
        <f>'Datos Actividad'!$U79*'FE Sectorial'!$H82*'FE Sectorial'!K82/1000/1000</f>
        <v>0</v>
      </c>
      <c r="K83" s="17">
        <f>'Datos Actividad'!$U79*'FE Sectorial'!$H82*'FE Sectorial'!L82/1000/1000</f>
        <v>0</v>
      </c>
      <c r="L83" s="17">
        <f>'Datos Actividad'!$U79*'FE Sectorial'!$H82*'FE Sectorial'!M82/1000/1000</f>
        <v>0</v>
      </c>
      <c r="M83" s="17">
        <f>'Datos Actividad'!$U79*'FE Sectorial'!$H82*'FE Sectorial'!N82/1000/1000</f>
        <v>0</v>
      </c>
      <c r="N83" s="17">
        <f>'Datos Actividad'!$U79*'FE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Actividad'!$U80*'FE Sectorial'!$H83*'FE Sectorial'!I83*'FE Sectorial'!P83/1000</f>
        <v>0</v>
      </c>
      <c r="I84" s="95">
        <f>'Datos Actividad'!$U80*'FE Sectorial'!$H83*'FE Sectorial'!J83/1000/1000</f>
        <v>0</v>
      </c>
      <c r="J84" s="17">
        <f>'Datos Actividad'!$U80*'FE Sectorial'!$H83*'FE Sectorial'!K83/1000/1000</f>
        <v>0</v>
      </c>
      <c r="K84" s="17">
        <f>'Datos Actividad'!$U80*'FE Sectorial'!$H83*'FE Sectorial'!L83/1000/1000</f>
        <v>0</v>
      </c>
      <c r="L84" s="17">
        <f>'Datos Actividad'!$U80*'FE Sectorial'!$H83*'FE Sectorial'!M83/1000/1000</f>
        <v>0</v>
      </c>
      <c r="M84" s="17">
        <f>'Datos Actividad'!$U80*'FE Sectorial'!$H83*'FE Sectorial'!N83/1000/1000</f>
        <v>0</v>
      </c>
      <c r="N84" s="17">
        <f>'Datos Actividad'!$U80*'FE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Actividad'!$U81*'FE Sectorial'!$H84*'FE Sectorial'!I84*'FE Sectorial'!P84/1000</f>
        <v>343987.14166604989</v>
      </c>
      <c r="I85" s="95">
        <f>'Datos Actividad'!$U81*'FE Sectorial'!$H84*'FE Sectorial'!J84/1000/1000</f>
        <v>118.61625574691378</v>
      </c>
      <c r="J85" s="17">
        <f>'Datos Actividad'!$U81*'FE Sectorial'!$H84*'FE Sectorial'!K84/1000/1000</f>
        <v>15.815500766255171</v>
      </c>
      <c r="K85" s="17">
        <f>'Datos Actividad'!$U81*'FE Sectorial'!$H84*'FE Sectorial'!L84/1000/1000</f>
        <v>395.3875191563792</v>
      </c>
      <c r="L85" s="17">
        <f>'Datos Actividad'!$U81*'FE Sectorial'!$H84*'FE Sectorial'!M84/1000/1000</f>
        <v>15815.500766255171</v>
      </c>
      <c r="M85" s="17">
        <f>'Datos Actividad'!$U81*'FE Sectorial'!$H84*'FE Sectorial'!N84/1000/1000</f>
        <v>197.6937595781896</v>
      </c>
      <c r="N85" s="17">
        <f>'Datos Actividad'!$U81*'FE Sectorial'!$H84*'FE Sectorial'!O84/1000/1000</f>
        <v>0</v>
      </c>
      <c r="O85" s="87">
        <f>IF(D85&lt;400,H85+I85*'Factores generales'!$M$41+J85*'Factores generales'!$N$41,I85*'Factores generales'!$M$41+J85*'Factores generales'!$N$41)</f>
        <v>7393.7466082242927</v>
      </c>
    </row>
    <row r="86" spans="2:15" outlineLevel="1" x14ac:dyDescent="0.25">
      <c r="B86" s="1" t="s">
        <v>38</v>
      </c>
      <c r="G86" s="1"/>
      <c r="H86" s="15">
        <f>H87+H88</f>
        <v>197926.56396532801</v>
      </c>
      <c r="I86" s="15">
        <f>I87+I88+I89</f>
        <v>4.1374319039999996</v>
      </c>
      <c r="J86" s="15">
        <f t="shared" ref="J86:O86" si="20">J87+J88+J89</f>
        <v>0.43346319040000003</v>
      </c>
      <c r="K86" s="15">
        <f t="shared" si="20"/>
        <v>533.84678560000009</v>
      </c>
      <c r="L86" s="15">
        <f t="shared" si="20"/>
        <v>185.25495712</v>
      </c>
      <c r="M86" s="15">
        <f t="shared" si="20"/>
        <v>18.71515952</v>
      </c>
      <c r="N86" s="15">
        <f t="shared" si="20"/>
        <v>0</v>
      </c>
      <c r="O86" s="15">
        <f t="shared" si="20"/>
        <v>198147.82362433602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Actividad'!$U83*'FE Sectorial'!$H86*'FE Sectorial'!I86*'FE Sectorial'!P86/1000</f>
        <v>197926.56396532801</v>
      </c>
      <c r="I87" s="17">
        <f>'Datos Actividad'!$U83*'FE Sectorial'!$H86*'FE Sectorial'!J86/1000/1000</f>
        <v>3.5458319039999999</v>
      </c>
      <c r="J87" s="17">
        <f>'Datos Actividad'!$U83*'FE Sectorial'!$H86*'FE Sectorial'!K86/1000/1000</f>
        <v>0.35458319040000003</v>
      </c>
      <c r="K87" s="17">
        <f>'Datos Actividad'!$U83*'FE Sectorial'!$H86*'FE Sectorial'!L86/1000/1000</f>
        <v>531.87478560000011</v>
      </c>
      <c r="L87" s="17">
        <f>'Datos Actividad'!$U83*'FE Sectorial'!$H86*'FE Sectorial'!M86/1000/1000</f>
        <v>106.37495712</v>
      </c>
      <c r="M87" s="17">
        <f>'Datos Actividad'!$U83*'FE Sectorial'!$H86*'FE Sectorial'!N86/1000/1000</f>
        <v>17.72915952</v>
      </c>
      <c r="N87" s="17">
        <f>'Datos Actividad'!$U83*'FE Sectorial'!$H86*'FE Sectorial'!O86/1000/1000</f>
        <v>0</v>
      </c>
      <c r="O87" s="87">
        <f>IF(D87&lt;400,H87+I87*'Factores generales'!$M$41+J87*'Factores generales'!$N$41,I87*'Factores generales'!$M$41+J87*'Factores generales'!$N$41)</f>
        <v>198110.94722433601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Actividad'!$U84*'FE Sectorial'!$H87*'FE Sectorial'!I87*'FE Sectorial'!P87/1000</f>
        <v>0</v>
      </c>
      <c r="I88" s="17">
        <f>'Datos Actividad'!$U84*'FE Sectorial'!$H87*'FE Sectorial'!J87/1000/1000</f>
        <v>0</v>
      </c>
      <c r="J88" s="17">
        <f>'Datos Actividad'!$U84*'FE Sectorial'!$H87*'FE Sectorial'!K87/1000/1000</f>
        <v>0</v>
      </c>
      <c r="K88" s="17">
        <f>'Datos Actividad'!$U84*'FE Sectorial'!$H87*'FE Sectorial'!L87/1000/1000</f>
        <v>0</v>
      </c>
      <c r="L88" s="17">
        <f>'Datos Actividad'!$U84*'FE Sectorial'!$H87*'FE Sectorial'!M87/1000/1000</f>
        <v>0</v>
      </c>
      <c r="M88" s="17">
        <f>'Datos Actividad'!$U84*'FE Sectorial'!$H87*'FE Sectorial'!N87/1000/1000</f>
        <v>0</v>
      </c>
      <c r="N88" s="17">
        <f>'Datos Actividad'!$U84*'FE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Actividad'!$U85*'FE Sectorial'!$H88*'FE Sectorial'!I88*'FE Sectorial'!P88/1000</f>
        <v>1715.64</v>
      </c>
      <c r="I89" s="95">
        <f>'Datos Actividad'!$U85*'FE Sectorial'!$H88*'FE Sectorial'!J88/1000/1000</f>
        <v>0.59160000000000001</v>
      </c>
      <c r="J89" s="17">
        <f>'Datos Actividad'!$U85*'FE Sectorial'!$H88*'FE Sectorial'!K88/1000/1000</f>
        <v>7.8879999999999992E-2</v>
      </c>
      <c r="K89" s="17">
        <f>'Datos Actividad'!$U85*'FE Sectorial'!$H88*'FE Sectorial'!L88/1000/1000</f>
        <v>1.972</v>
      </c>
      <c r="L89" s="17">
        <f>'Datos Actividad'!$U85*'FE Sectorial'!$H88*'FE Sectorial'!M88/1000/1000</f>
        <v>78.88</v>
      </c>
      <c r="M89" s="17">
        <f>'Datos Actividad'!$U85*'FE Sectorial'!$H88*'FE Sectorial'!N88/1000/1000</f>
        <v>0.98599999999999999</v>
      </c>
      <c r="N89" s="17">
        <f>'Datos Actividad'!$U85*'FE Sectorial'!$H88*'FE Sectorial'!O88/1000/1000</f>
        <v>0</v>
      </c>
      <c r="O89" s="87">
        <f>IF(D89&lt;400,H89+I89*'Factores generales'!$M$41+J89*'Factores generales'!$N$41,I89*'Factores generales'!$M$41+J89*'Factores generales'!$N$41)</f>
        <v>36.876399999999997</v>
      </c>
    </row>
    <row r="90" spans="2:15" outlineLevel="1" x14ac:dyDescent="0.25">
      <c r="B90" s="1" t="s">
        <v>39</v>
      </c>
      <c r="G90" s="1"/>
      <c r="H90" s="15">
        <f t="shared" ref="H90:O90" si="21">H91+H92+H93</f>
        <v>4136617.4110992723</v>
      </c>
      <c r="I90" s="15">
        <f t="shared" si="21"/>
        <v>74.107030895999998</v>
      </c>
      <c r="J90" s="15">
        <f t="shared" si="21"/>
        <v>7.4107030896000001</v>
      </c>
      <c r="K90" s="15">
        <f t="shared" si="21"/>
        <v>11116.054634399999</v>
      </c>
      <c r="L90" s="15">
        <f t="shared" si="21"/>
        <v>2223.21092688</v>
      </c>
      <c r="M90" s="15">
        <f t="shared" si="21"/>
        <v>370.53515448000002</v>
      </c>
      <c r="N90" s="15">
        <f t="shared" si="21"/>
        <v>0</v>
      </c>
      <c r="O90" s="15">
        <f t="shared" si="21"/>
        <v>4140470.9767058645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Actividad'!$U87*'FE Sectorial'!$H90*'FE Sectorial'!I90*'FE Sectorial'!P90/1000</f>
        <v>4136617.4110992723</v>
      </c>
      <c r="I91" s="17">
        <f>'Datos Actividad'!$U87*'FE Sectorial'!$H90*'FE Sectorial'!J90/1000/1000</f>
        <v>74.107030895999998</v>
      </c>
      <c r="J91" s="17">
        <f>'Datos Actividad'!$U87*'FE Sectorial'!$H90*'FE Sectorial'!K90/1000/1000</f>
        <v>7.4107030896000001</v>
      </c>
      <c r="K91" s="17">
        <f>'Datos Actividad'!$U87*'FE Sectorial'!$H90*'FE Sectorial'!L90/1000/1000</f>
        <v>11116.054634399999</v>
      </c>
      <c r="L91" s="17">
        <f>'Datos Actividad'!$U87*'FE Sectorial'!$H90*'FE Sectorial'!M90/1000/1000</f>
        <v>2223.21092688</v>
      </c>
      <c r="M91" s="17">
        <f>'Datos Actividad'!$U87*'FE Sectorial'!$H90*'FE Sectorial'!N90/1000/1000</f>
        <v>370.53515448000002</v>
      </c>
      <c r="N91" s="17">
        <f>'Datos Actividad'!$U87*'FE Sectorial'!$H90*'FE Sectorial'!O90/1000/1000</f>
        <v>0</v>
      </c>
      <c r="O91" s="87">
        <f>IF(D91&lt;400,H91+I91*'Factores generales'!$M$41+J91*'Factores generales'!$N$41,I91*'Factores generales'!$M$41+J91*'Factores generales'!$N$41)</f>
        <v>4140470.9767058645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Actividad'!$U88*'FE Sectorial'!$H91*'FE Sectorial'!I91*'FE Sectorial'!P91/1000</f>
        <v>0</v>
      </c>
      <c r="I92" s="17">
        <f>'Datos Actividad'!$U88*'FE Sectorial'!$H91*'FE Sectorial'!J91/1000/1000</f>
        <v>0</v>
      </c>
      <c r="J92" s="17">
        <f>'Datos Actividad'!$U88*'FE Sectorial'!$H91*'FE Sectorial'!K91/1000/1000</f>
        <v>0</v>
      </c>
      <c r="K92" s="17">
        <f>'Datos Actividad'!$U88*'FE Sectorial'!$H91*'FE Sectorial'!L91/1000/1000</f>
        <v>0</v>
      </c>
      <c r="L92" s="17">
        <f>'Datos Actividad'!$U88*'FE Sectorial'!$H91*'FE Sectorial'!M91/1000/1000</f>
        <v>0</v>
      </c>
      <c r="M92" s="17">
        <f>'Datos Actividad'!$U88*'FE Sectorial'!$H91*'FE Sectorial'!N91/1000/1000</f>
        <v>0</v>
      </c>
      <c r="N92" s="17">
        <f>'Datos Actividad'!$U88*'FE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Actividad'!$U89*'FE Sectorial'!$H92*'FE Sectorial'!I92*'FE Sectorial'!P92/1000</f>
        <v>0</v>
      </c>
      <c r="I93" s="17">
        <f>'Datos Actividad'!$U89*'FE Sectorial'!$H92*'FE Sectorial'!J92/1000/1000</f>
        <v>0</v>
      </c>
      <c r="J93" s="17">
        <f>'Datos Actividad'!$U89*'FE Sectorial'!$H92*'FE Sectorial'!K92/1000/1000</f>
        <v>0</v>
      </c>
      <c r="K93" s="17">
        <f>'Datos Actividad'!$U89*'FE Sectorial'!$H92*'FE Sectorial'!L92/1000/1000</f>
        <v>0</v>
      </c>
      <c r="L93" s="17">
        <f>'Datos Actividad'!$U89*'FE Sectorial'!$H92*'FE Sectorial'!M92/1000/1000</f>
        <v>0</v>
      </c>
      <c r="M93" s="17">
        <f>'Datos Actividad'!$U89*'FE Sectorial'!$H92*'FE Sectorial'!N92/1000/1000</f>
        <v>0</v>
      </c>
      <c r="N93" s="17">
        <f>'Datos Actividad'!$U89*'FE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2297643.1601429987</v>
      </c>
      <c r="I94" s="15">
        <f t="shared" ref="I94:O94" si="22">SUM(I95:I100)</f>
        <v>87.240849943755066</v>
      </c>
      <c r="J94" s="15">
        <f t="shared" si="22"/>
        <v>17.219574920257859</v>
      </c>
      <c r="K94" s="15">
        <f t="shared" si="22"/>
        <v>6006.5525533279624</v>
      </c>
      <c r="L94" s="15">
        <f t="shared" si="22"/>
        <v>351.76151807735698</v>
      </c>
      <c r="M94" s="15">
        <f t="shared" si="22"/>
        <v>153.02125218936345</v>
      </c>
      <c r="N94" s="15">
        <f t="shared" si="22"/>
        <v>4870.8795026011285</v>
      </c>
      <c r="O94" s="15">
        <f t="shared" si="22"/>
        <v>2304813.2862170972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Actividad'!$U91*'FE Sectorial'!$H94*'FE Sectorial'!I94*'FE Sectorial'!P94/1000</f>
        <v>0</v>
      </c>
      <c r="I95" s="17">
        <f>'Datos Actividad'!$U91*'FE Sectorial'!$H94*'FE Sectorial'!J94/1000/1000</f>
        <v>0</v>
      </c>
      <c r="J95" s="17">
        <f>'Datos Actividad'!$U91*'FE Sectorial'!$H94*'FE Sectorial'!K94/1000/1000</f>
        <v>0</v>
      </c>
      <c r="K95" s="17">
        <f>'Datos Actividad'!$U91*'FE Sectorial'!$H94*'FE Sectorial'!L94/1000/1000</f>
        <v>0</v>
      </c>
      <c r="L95" s="17">
        <f>'Datos Actividad'!$U91*'FE Sectorial'!$H94*'FE Sectorial'!M94/1000/1000</f>
        <v>0</v>
      </c>
      <c r="M95" s="17">
        <f>'Datos Actividad'!$U91*'FE Sectorial'!$H94*'FE Sectorial'!N94/1000/1000</f>
        <v>0</v>
      </c>
      <c r="N95" s="17">
        <f>'Datos Actividad'!$U91*'FE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Actividad'!$U92*'FE Sectorial'!$H95*'FE Sectorial'!I95*'FE Sectorial'!P95/1000</f>
        <v>142801.05333698628</v>
      </c>
      <c r="I96" s="17">
        <f>'Datos Actividad'!$U92*'FE Sectorial'!$H95*'FE Sectorial'!J95/1000/1000</f>
        <v>2.2859506849315063</v>
      </c>
      <c r="J96" s="17">
        <f>'Datos Actividad'!$U92*'FE Sectorial'!$H95*'FE Sectorial'!K95/1000/1000</f>
        <v>0.22859506849315064</v>
      </c>
      <c r="K96" s="17">
        <f>'Datos Actividad'!$U92*'FE Sectorial'!$H95*'FE Sectorial'!L95/1000/1000</f>
        <v>342.89260273972599</v>
      </c>
      <c r="L96" s="17">
        <f>'Datos Actividad'!$U92*'FE Sectorial'!$H95*'FE Sectorial'!M95/1000/1000</f>
        <v>68.578520547945189</v>
      </c>
      <c r="M96" s="17">
        <f>'Datos Actividad'!$U92*'FE Sectorial'!$H95*'FE Sectorial'!N95/1000/1000</f>
        <v>11.42975342465753</v>
      </c>
      <c r="N96" s="17">
        <f>'Datos Actividad'!$U92*'FE Sectorial'!$H95*'FE Sectorial'!O95/1000/1000</f>
        <v>9.6657534246575345</v>
      </c>
      <c r="O96" s="87">
        <f>IF(D96&lt;400,H96+I96*'Factores generales'!$M$41+J96*'Factores generales'!$N$41,I96*'Factores generales'!$M$41+J96*'Factores generales'!$N$41)</f>
        <v>142919.9227726027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Actividad'!$U93*'FE Sectorial'!$H96*'FE Sectorial'!I96*'FE Sectorial'!P96/1000</f>
        <v>338523.15686601214</v>
      </c>
      <c r="I97" s="17">
        <f>'Datos Actividad'!$U93*'FE Sectorial'!$H96*'FE Sectorial'!J96/1000/1000</f>
        <v>13.843829258823545</v>
      </c>
      <c r="J97" s="17">
        <f>'Datos Actividad'!$U93*'FE Sectorial'!$H96*'FE Sectorial'!K96/1000/1000</f>
        <v>2.7687658517647091</v>
      </c>
      <c r="K97" s="17">
        <f>'Datos Actividad'!$U93*'FE Sectorial'!$H96*'FE Sectorial'!L96/1000/1000</f>
        <v>922.92195058823631</v>
      </c>
      <c r="L97" s="17">
        <f>'Datos Actividad'!$U93*'FE Sectorial'!$H96*'FE Sectorial'!M96/1000/1000</f>
        <v>46.146097529411826</v>
      </c>
      <c r="M97" s="17">
        <f>'Datos Actividad'!$U93*'FE Sectorial'!$H96*'FE Sectorial'!N96/1000/1000</f>
        <v>23.073048764705913</v>
      </c>
      <c r="N97" s="17">
        <f>'Datos Actividad'!$U93*'FE Sectorial'!$H96*'FE Sectorial'!O96/1000/1000</f>
        <v>167.41374917647079</v>
      </c>
      <c r="O97" s="87">
        <f>IF(D97&lt;400,H97+I97*'Factores generales'!$M$41+J97*'Factores generales'!$N$41,I97*'Factores generales'!$M$41+J97*'Factores generales'!$N$41)</f>
        <v>339672.19469449454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Actividad'!$U94*'FE Sectorial'!$H97*'FE Sectorial'!I97*'FE Sectorial'!P97/1000</f>
        <v>1816318.9499400002</v>
      </c>
      <c r="I98" s="17">
        <f>'Datos Actividad'!$U94*'FE Sectorial'!$H97*'FE Sectorial'!J97/1000/1000</f>
        <v>71.111070000000012</v>
      </c>
      <c r="J98" s="17">
        <f>'Datos Actividad'!$U94*'FE Sectorial'!$H97*'FE Sectorial'!K97/1000/1000</f>
        <v>14.222213999999999</v>
      </c>
      <c r="K98" s="17">
        <f>'Datos Actividad'!$U94*'FE Sectorial'!$H97*'FE Sectorial'!L97/1000/1000</f>
        <v>4740.7380000000003</v>
      </c>
      <c r="L98" s="17">
        <f>'Datos Actividad'!$U94*'FE Sectorial'!$H97*'FE Sectorial'!M97/1000/1000</f>
        <v>237.0369</v>
      </c>
      <c r="M98" s="17">
        <f>'Datos Actividad'!$U94*'FE Sectorial'!$H97*'FE Sectorial'!N97/1000/1000</f>
        <v>118.51845</v>
      </c>
      <c r="N98" s="17">
        <f>'Datos Actividad'!$U94*'FE Sectorial'!$H97*'FE Sectorial'!O97/1000/1000</f>
        <v>4693.8</v>
      </c>
      <c r="O98" s="87">
        <f>IF(D98&lt;400,H98+I98*'Factores generales'!$M$41+J98*'Factores generales'!$N$41,I98*'Factores generales'!$M$41+J98*'Factores generales'!$N$41)</f>
        <v>1822221.1687500002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Actividad'!$U95*'FE Sectorial'!$H98*'FE Sectorial'!I98*'FE Sectorial'!P98/1000</f>
        <v>0</v>
      </c>
      <c r="I99" s="17">
        <f>'Datos Actividad'!$U95*'FE Sectorial'!$H98*'FE Sectorial'!J98/1000/1000</f>
        <v>0</v>
      </c>
      <c r="J99" s="17">
        <f>'Datos Actividad'!$U95*'FE Sectorial'!$H98*'FE Sectorial'!K98/1000/1000</f>
        <v>0</v>
      </c>
      <c r="K99" s="17">
        <f>'Datos Actividad'!$U95*'FE Sectorial'!$H98*'FE Sectorial'!L98/1000/1000</f>
        <v>0</v>
      </c>
      <c r="L99" s="17">
        <f>'Datos Actividad'!$U95*'FE Sectorial'!$H98*'FE Sectorial'!M98/1000/1000</f>
        <v>0</v>
      </c>
      <c r="M99" s="17">
        <f>'Datos Actividad'!$U95*'FE Sectorial'!$H98*'FE Sectorial'!N98/1000/1000</f>
        <v>0</v>
      </c>
      <c r="N99" s="17">
        <f>'Datos Actividad'!$U95*'FE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Actividad'!$U96*'FE Sectorial'!$H99*'FE Sectorial'!I99*'FE Sectorial'!P99/1000</f>
        <v>0</v>
      </c>
      <c r="I100" s="17">
        <f>'Datos Actividad'!$U96*'FE Sectorial'!$H99*'FE Sectorial'!J99/1000/1000</f>
        <v>0</v>
      </c>
      <c r="J100" s="17">
        <f>'Datos Actividad'!$U96*'FE Sectorial'!$H99*'FE Sectorial'!K99/1000/1000</f>
        <v>0</v>
      </c>
      <c r="K100" s="17">
        <f>'Datos Actividad'!$U96*'FE Sectorial'!$H99*'FE Sectorial'!L99/1000/1000</f>
        <v>0</v>
      </c>
      <c r="L100" s="17">
        <f>'Datos Actividad'!$U96*'FE Sectorial'!$H99*'FE Sectorial'!M99/1000/1000</f>
        <v>0</v>
      </c>
      <c r="M100" s="17">
        <f>'Datos Actividad'!$U96*'FE Sectorial'!$H99*'FE Sectorial'!N99/1000/1000</f>
        <v>0</v>
      </c>
      <c r="N100" s="17">
        <f>'Datos Actividad'!$U96*'FE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39427049.636182897</v>
      </c>
      <c r="I101" s="129">
        <f t="shared" si="23"/>
        <v>9804.8662776158944</v>
      </c>
      <c r="J101" s="129">
        <f t="shared" si="23"/>
        <v>2995.2582426765166</v>
      </c>
      <c r="K101" s="129">
        <f t="shared" si="23"/>
        <v>380624.76617076277</v>
      </c>
      <c r="L101" s="129">
        <f t="shared" si="23"/>
        <v>1959009.9717668479</v>
      </c>
      <c r="M101" s="129">
        <f t="shared" si="23"/>
        <v>368685.99115121254</v>
      </c>
      <c r="N101" s="129">
        <f t="shared" si="23"/>
        <v>12248.247138943245</v>
      </c>
      <c r="O101" s="129">
        <f t="shared" si="23"/>
        <v>40561481.883242548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1303199.9563106792</v>
      </c>
      <c r="I102" s="134">
        <f t="shared" ref="I102:O102" si="24">I105</f>
        <v>9.2053398058252398</v>
      </c>
      <c r="J102" s="134">
        <f t="shared" si="24"/>
        <v>36.821359223300959</v>
      </c>
      <c r="K102" s="134">
        <f t="shared" si="24"/>
        <v>4602.6699029126203</v>
      </c>
      <c r="L102" s="134">
        <f t="shared" si="24"/>
        <v>1841.0679611650482</v>
      </c>
      <c r="M102" s="134">
        <f t="shared" si="24"/>
        <v>920.53398058252412</v>
      </c>
      <c r="N102" s="134">
        <f t="shared" si="24"/>
        <v>834.95145631067942</v>
      </c>
      <c r="O102" s="134">
        <f t="shared" si="24"/>
        <v>1314807.8898058247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2091600.7020198777</v>
      </c>
      <c r="I103" s="15">
        <f t="shared" ref="I103:O103" si="25">I104</f>
        <v>14.774321551316508</v>
      </c>
      <c r="J103" s="15">
        <f t="shared" si="25"/>
        <v>59.09728620526603</v>
      </c>
      <c r="K103" s="15">
        <f t="shared" si="25"/>
        <v>7387.1607756582534</v>
      </c>
      <c r="L103" s="15">
        <f t="shared" si="25"/>
        <v>2954.8643102633014</v>
      </c>
      <c r="M103" s="15">
        <f t="shared" si="25"/>
        <v>1477.4321551316507</v>
      </c>
      <c r="N103" s="15">
        <f t="shared" si="25"/>
        <v>1340.0745171262138</v>
      </c>
      <c r="O103" s="15">
        <f t="shared" si="25"/>
        <v>2110231.1214960879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Actividad'!$U100*'FE Sectorial'!$H103*'FE Sectorial'!I103*'FE Sectorial'!P103/1000</f>
        <v>2091600.7020198777</v>
      </c>
      <c r="I104" s="17">
        <f>'Datos Actividad'!$U100*'FE Sectorial'!$H103*'FE Sectorial'!J103/1000/1000</f>
        <v>14.774321551316508</v>
      </c>
      <c r="J104" s="17">
        <f>'Datos Actividad'!$U100*'FE Sectorial'!$H103*'FE Sectorial'!K103/1000/1000</f>
        <v>59.09728620526603</v>
      </c>
      <c r="K104" s="17">
        <f>'Datos Actividad'!$U100*'FE Sectorial'!$H103*'FE Sectorial'!L103/1000/1000</f>
        <v>7387.1607756582534</v>
      </c>
      <c r="L104" s="17">
        <f>'Datos Actividad'!$U100*'FE Sectorial'!$H103*'FE Sectorial'!M103/1000/1000</f>
        <v>2954.8643102633014</v>
      </c>
      <c r="M104" s="17">
        <f>'Datos Actividad'!$U100*'FE Sectorial'!$H103*'FE Sectorial'!N103/1000/1000</f>
        <v>1477.4321551316507</v>
      </c>
      <c r="N104" s="17">
        <f>'Datos Actividad'!$U100*'FE Sectorial'!$H103*'FE Sectorial'!O103/1000/1000</f>
        <v>1340.0745171262138</v>
      </c>
      <c r="O104" s="87">
        <f>IF(D104&lt;400,H104+I104*'Factores generales'!$M$41+J104*'Factores generales'!$N$41,I104*'Factores generales'!$M$41+J104*'Factores generales'!$N$41)</f>
        <v>2110231.1214960879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1303199.9563106792</v>
      </c>
      <c r="I105" s="15">
        <f t="shared" ref="I105:O105" si="26">I106</f>
        <v>9.2053398058252398</v>
      </c>
      <c r="J105" s="15">
        <f t="shared" si="26"/>
        <v>36.821359223300959</v>
      </c>
      <c r="K105" s="15">
        <f t="shared" si="26"/>
        <v>4602.6699029126203</v>
      </c>
      <c r="L105" s="15">
        <f t="shared" si="26"/>
        <v>1841.0679611650482</v>
      </c>
      <c r="M105" s="15">
        <f t="shared" si="26"/>
        <v>920.53398058252412</v>
      </c>
      <c r="N105" s="15">
        <f t="shared" si="26"/>
        <v>834.95145631067942</v>
      </c>
      <c r="O105" s="15">
        <f t="shared" si="26"/>
        <v>1314807.8898058247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Actividad'!$U102*'FE Sectorial'!$H105*'FE Sectorial'!I105*'FE Sectorial'!P105/1000</f>
        <v>1303199.9563106792</v>
      </c>
      <c r="I106" s="17">
        <f>'Datos Actividad'!$U102*'FE Sectorial'!$H105*'FE Sectorial'!J105/1000/1000</f>
        <v>9.2053398058252398</v>
      </c>
      <c r="J106" s="17">
        <f>'Datos Actividad'!$U102*'FE Sectorial'!$H105*'FE Sectorial'!K105/1000/1000</f>
        <v>36.821359223300959</v>
      </c>
      <c r="K106" s="17">
        <f>'Datos Actividad'!$U102*'FE Sectorial'!$H105*'FE Sectorial'!L105/1000/1000</f>
        <v>4602.6699029126203</v>
      </c>
      <c r="L106" s="17">
        <f>'Datos Actividad'!$U102*'FE Sectorial'!$H105*'FE Sectorial'!M105/1000/1000</f>
        <v>1841.0679611650482</v>
      </c>
      <c r="M106" s="17">
        <f>'Datos Actividad'!$U102*'FE Sectorial'!$H105*'FE Sectorial'!N105/1000/1000</f>
        <v>920.53398058252412</v>
      </c>
      <c r="N106" s="17">
        <f>'Datos Actividad'!$U102*'FE Sectorial'!$H105*'FE Sectorial'!O105/1000/1000</f>
        <v>834.95145631067942</v>
      </c>
      <c r="O106" s="87">
        <f>IF(D106&lt;400,H106+I106*'Factores generales'!$M$41+J106*'Factores generales'!$N$41,I106*'Factores generales'!$M$41+J106*'Factores generales'!$N$41)</f>
        <v>1314807.8898058247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35539174.228740498</v>
      </c>
      <c r="I107" s="134">
        <f t="shared" si="27"/>
        <v>9701.3952628926618</v>
      </c>
      <c r="J107" s="134">
        <f t="shared" si="27"/>
        <v>2799.1614362197338</v>
      </c>
      <c r="K107" s="134">
        <f t="shared" si="27"/>
        <v>356305.10503084364</v>
      </c>
      <c r="L107" s="134">
        <f t="shared" si="27"/>
        <v>1945546.9193824558</v>
      </c>
      <c r="M107" s="134">
        <f t="shared" si="27"/>
        <v>365409.39914806216</v>
      </c>
      <c r="N107" s="134">
        <f t="shared" si="27"/>
        <v>10395.483939696345</v>
      </c>
      <c r="O107" s="134">
        <f t="shared" si="27"/>
        <v>36610643.57448937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32527832.539417196</v>
      </c>
      <c r="I108" s="15">
        <f t="shared" ref="I108:O108" si="28">I109+I110+I111+I112+I113</f>
        <v>9541.3026690955703</v>
      </c>
      <c r="J108" s="15">
        <f t="shared" si="28"/>
        <v>2639.0688424226414</v>
      </c>
      <c r="K108" s="15">
        <f t="shared" si="28"/>
        <v>323465.59861092729</v>
      </c>
      <c r="L108" s="15">
        <f t="shared" si="28"/>
        <v>1904497.5363575604</v>
      </c>
      <c r="M108" s="15">
        <f t="shared" si="28"/>
        <v>357199.52254308306</v>
      </c>
      <c r="N108" s="15">
        <f t="shared" si="28"/>
        <v>8906.25050902572</v>
      </c>
      <c r="O108" s="15">
        <f t="shared" si="28"/>
        <v>33546311.236619227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Actividad'!$U105*'FE Sectorial'!$H108*'FE Sectorial'!I108*'FE Sectorial'!P108/1000</f>
        <v>2103378.6295700641</v>
      </c>
      <c r="I109" s="17">
        <f>'Datos Actividad'!$U105*'FE Sectorial'!$H108*'FE Sectorial'!J108/1000/1000</f>
        <v>3466.7246019840004</v>
      </c>
      <c r="J109" s="17">
        <f>'Datos Actividad'!$U105*'FE Sectorial'!$H108*'FE Sectorial'!K108/1000/1000</f>
        <v>113.04536745600001</v>
      </c>
      <c r="K109" s="17">
        <f>'Datos Actividad'!$U105*'FE Sectorial'!$H108*'FE Sectorial'!L108/1000/1000</f>
        <v>22609.073491200001</v>
      </c>
      <c r="L109" s="17">
        <f>'Datos Actividad'!$U105*'FE Sectorial'!$H108*'FE Sectorial'!M108/1000/1000</f>
        <v>15072.7156608</v>
      </c>
      <c r="M109" s="17">
        <f>'Datos Actividad'!$U105*'FE Sectorial'!$H108*'FE Sectorial'!N108/1000/1000</f>
        <v>188.40894576000002</v>
      </c>
      <c r="N109" s="17">
        <f>'Datos Actividad'!$U105*'FE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2211223.9101230884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Actividad'!$U106*'FE Sectorial'!$H109*'FE Sectorial'!I109*'FE Sectorial'!P109/1000</f>
        <v>16103531.268477309</v>
      </c>
      <c r="I110" s="17">
        <f>'Datos Actividad'!$U106*'FE Sectorial'!$H109*'FE Sectorial'!J109/1000/1000</f>
        <v>856.11543160432279</v>
      </c>
      <c r="J110" s="17">
        <f>'Datos Actividad'!$U106*'FE Sectorial'!$H109*'FE Sectorial'!K109/1000/1000</f>
        <v>856.11543160432279</v>
      </c>
      <c r="K110" s="17">
        <f>'Datos Actividad'!$U106*'FE Sectorial'!$H109*'FE Sectorial'!L109/1000/1000</f>
        <v>175613.42186755341</v>
      </c>
      <c r="L110" s="17">
        <f>'Datos Actividad'!$U106*'FE Sectorial'!$H109*'FE Sectorial'!M109/1000/1000</f>
        <v>219516.77733444175</v>
      </c>
      <c r="M110" s="17">
        <f>'Datos Actividad'!$U106*'FE Sectorial'!$H109*'FE Sectorial'!N109/1000/1000</f>
        <v>43903.355466888352</v>
      </c>
      <c r="N110" s="17">
        <f>'Datos Actividad'!$U106*'FE Sectorial'!$H109*'FE Sectorial'!O109/1000/1000</f>
        <v>7963.8644800402135</v>
      </c>
      <c r="O110" s="87">
        <f>IF(D110&lt;400,H110+I110*'Factores generales'!$M$41+J110*'Factores generales'!$N$41,I110*'Factores generales'!$M$41+J110*'Factores generales'!$N$41)</f>
        <v>16386905.47633834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Actividad'!$U107*'FE Sectorial'!$H110*'FE Sectorial'!I110*'FE Sectorial'!P110/1000</f>
        <v>14320922.641369823</v>
      </c>
      <c r="I111" s="17">
        <f>'Datos Actividad'!$U107*'FE Sectorial'!$H110*'FE Sectorial'!J110/1000/1000</f>
        <v>5218.4626355072469</v>
      </c>
      <c r="J111" s="17">
        <f>'Datos Actividad'!$U107*'FE Sectorial'!$H110*'FE Sectorial'!K110/1000/1000</f>
        <v>1669.9080433623187</v>
      </c>
      <c r="K111" s="17">
        <f>'Datos Actividad'!$U107*'FE Sectorial'!$H110*'FE Sectorial'!L110/1000/1000</f>
        <v>125243.1032521739</v>
      </c>
      <c r="L111" s="17">
        <f>'Datos Actividad'!$U107*'FE Sectorial'!$H110*'FE Sectorial'!M110/1000/1000</f>
        <v>1669908.0433623188</v>
      </c>
      <c r="M111" s="17">
        <f>'Datos Actividad'!$U107*'FE Sectorial'!$H110*'FE Sectorial'!N110/1000/1000</f>
        <v>313107.75813043473</v>
      </c>
      <c r="N111" s="17">
        <f>'Datos Actividad'!$U107*'FE Sectorial'!$H110*'FE Sectorial'!O110/1000/1000</f>
        <v>942.38602898550721</v>
      </c>
      <c r="O111" s="87">
        <f>IF(D111&lt;400,H111+I111*'Factores generales'!$M$41+J111*'Factores generales'!$N$41,I111*'Factores generales'!$M$41+J111*'Factores generales'!$N$41)</f>
        <v>14948181.850157795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Actividad'!$U108*'FE Sectorial'!$H111*'FE Sectorial'!I111*'FE Sectorial'!P111/1000</f>
        <v>0</v>
      </c>
      <c r="I112" s="17">
        <f>'Datos Actividad'!$U108*'FE Sectorial'!$H111*'FE Sectorial'!J111/1000/1000</f>
        <v>0</v>
      </c>
      <c r="J112" s="17">
        <f>'Datos Actividad'!$U108*'FE Sectorial'!$H111*'FE Sectorial'!K111/1000/1000</f>
        <v>0</v>
      </c>
      <c r="K112" s="17">
        <f>'Datos Actividad'!$U108*'FE Sectorial'!$H111*'FE Sectorial'!L111/1000/1000</f>
        <v>0</v>
      </c>
      <c r="L112" s="17">
        <f>'Datos Actividad'!$U108*'FE Sectorial'!$H111*'FE Sectorial'!M111/1000/1000</f>
        <v>0</v>
      </c>
      <c r="M112" s="17">
        <f>'Datos Actividad'!$U108*'FE Sectorial'!$H111*'FE Sectorial'!N111/1000/1000</f>
        <v>0</v>
      </c>
      <c r="N112" s="17">
        <f>'Datos Actividad'!$U108*'FE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Actividad'!$U109*'FE Sectorial'!$H112*'FE Sectorial'!I112*'FE Sectorial'!P112/1000</f>
        <v>0</v>
      </c>
      <c r="I113" s="17">
        <f>'Datos Actividad'!$U109*'FE Sectorial'!$H112*'FE Sectorial'!J112/1000/1000</f>
        <v>0</v>
      </c>
      <c r="J113" s="17">
        <f>'Datos Actividad'!$U109*'FE Sectorial'!$H112*'FE Sectorial'!K112/1000/1000</f>
        <v>0</v>
      </c>
      <c r="K113" s="17">
        <f>'Datos Actividad'!$U109*'FE Sectorial'!$H112*'FE Sectorial'!L112/1000/1000</f>
        <v>0</v>
      </c>
      <c r="L113" s="17">
        <f>'Datos Actividad'!$U109*'FE Sectorial'!$H112*'FE Sectorial'!M112/1000/1000</f>
        <v>0</v>
      </c>
      <c r="M113" s="17">
        <f>'Datos Actividad'!$U109*'FE Sectorial'!$H112*'FE Sectorial'!N112/1000/1000</f>
        <v>0</v>
      </c>
      <c r="N113" s="17">
        <f>'Datos Actividad'!$U109*'FE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3011341.6893233038</v>
      </c>
      <c r="I114" s="15">
        <f t="shared" ref="I114:O114" si="29">I115</f>
        <v>160.09259379709218</v>
      </c>
      <c r="J114" s="15">
        <f t="shared" si="29"/>
        <v>160.09259379709218</v>
      </c>
      <c r="K114" s="15">
        <f t="shared" si="29"/>
        <v>32839.506419916346</v>
      </c>
      <c r="L114" s="15">
        <f t="shared" si="29"/>
        <v>41049.383024895433</v>
      </c>
      <c r="M114" s="15">
        <f t="shared" si="29"/>
        <v>8209.8766049790866</v>
      </c>
      <c r="N114" s="15">
        <f t="shared" si="29"/>
        <v>1489.233430670625</v>
      </c>
      <c r="O114" s="15">
        <f t="shared" si="29"/>
        <v>3064332.337870141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Actividad'!$U111*'FE Sectorial'!$H114*'FE Sectorial'!I114*'FE Sectorial'!P114/1000</f>
        <v>3011341.6893233038</v>
      </c>
      <c r="I115" s="17">
        <f>'Datos Actividad'!$U111*'FE Sectorial'!$H114*'FE Sectorial'!J114/1000/1000</f>
        <v>160.09259379709218</v>
      </c>
      <c r="J115" s="17">
        <f>'Datos Actividad'!$U111*'FE Sectorial'!$H114*'FE Sectorial'!K114/1000/1000</f>
        <v>160.09259379709218</v>
      </c>
      <c r="K115" s="17">
        <f>'Datos Actividad'!$U111*'FE Sectorial'!$H114*'FE Sectorial'!L114/1000/1000</f>
        <v>32839.506419916346</v>
      </c>
      <c r="L115" s="17">
        <f>'Datos Actividad'!$U111*'FE Sectorial'!$H114*'FE Sectorial'!M114/1000/1000</f>
        <v>41049.383024895433</v>
      </c>
      <c r="M115" s="17">
        <f>'Datos Actividad'!$U111*'FE Sectorial'!$H114*'FE Sectorial'!N114/1000/1000</f>
        <v>8209.8766049790866</v>
      </c>
      <c r="N115" s="17">
        <f>'Datos Actividad'!$U111*'FE Sectorial'!$H114*'FE Sectorial'!O114/1000/1000</f>
        <v>1489.233430670625</v>
      </c>
      <c r="O115" s="87">
        <f>IF(D115&lt;400,H115+I115*'Factores generales'!$M$41+J115*'Factores generales'!$N$41,I115*'Factores generales'!$M$41+J115*'Factores generales'!$N$41)</f>
        <v>3064332.337870141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369861.10628768732</v>
      </c>
      <c r="I116" s="134">
        <f t="shared" ref="I116:O116" si="30">I117</f>
        <v>20.923453033627812</v>
      </c>
      <c r="J116" s="134">
        <f t="shared" si="30"/>
        <v>144.19536307512178</v>
      </c>
      <c r="K116" s="134">
        <f t="shared" si="30"/>
        <v>6050.1550940610532</v>
      </c>
      <c r="L116" s="134">
        <f t="shared" si="30"/>
        <v>5041.7959117175442</v>
      </c>
      <c r="M116" s="134">
        <f t="shared" si="30"/>
        <v>1008.3591823435088</v>
      </c>
      <c r="N116" s="134">
        <f t="shared" si="30"/>
        <v>182.91166563440393</v>
      </c>
      <c r="O116" s="134">
        <f t="shared" si="30"/>
        <v>415001.06135468127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Actividad'!$U113*'FE Sectorial'!$H116*'FE Sectorial'!I116*'FE Sectorial'!P116/1000</f>
        <v>369861.10628768732</v>
      </c>
      <c r="I117" s="17">
        <f>'Datos Actividad'!$U113*'FE Sectorial'!$H116*'FE Sectorial'!J116/1000/1000</f>
        <v>20.923453033627812</v>
      </c>
      <c r="J117" s="17">
        <f>'Datos Actividad'!$U113*'FE Sectorial'!$H116*'FE Sectorial'!K116/1000/1000</f>
        <v>144.19536307512178</v>
      </c>
      <c r="K117" s="17">
        <f>'Datos Actividad'!$U113*'FE Sectorial'!$H116*'FE Sectorial'!L116/1000/1000</f>
        <v>6050.1550940610532</v>
      </c>
      <c r="L117" s="17">
        <f>'Datos Actividad'!$U113*'FE Sectorial'!$H116*'FE Sectorial'!M116/1000/1000</f>
        <v>5041.7959117175442</v>
      </c>
      <c r="M117" s="17">
        <f>'Datos Actividad'!$U113*'FE Sectorial'!$H116*'FE Sectorial'!N116/1000/1000</f>
        <v>1008.3591823435088</v>
      </c>
      <c r="N117" s="17">
        <f>'Datos Actividad'!$U113*'FE Sectorial'!$H116*'FE Sectorial'!O116/1000/1000</f>
        <v>182.91166563440393</v>
      </c>
      <c r="O117" s="87">
        <f>IF(D117&lt;400,H117+I117*'Factores generales'!$M$41+J117*'Factores generales'!$N$41,I117*'Factores generales'!$M$41+J117*'Factores generales'!$N$41)</f>
        <v>415001.06135468127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448817.88165287464</v>
      </c>
      <c r="I118" s="134">
        <f t="shared" ref="I118:O118" si="31">I122</f>
        <v>41.636553161440624</v>
      </c>
      <c r="J118" s="134">
        <f t="shared" si="31"/>
        <v>11.896158046125892</v>
      </c>
      <c r="K118" s="134">
        <f t="shared" si="31"/>
        <v>8922.1185345944195</v>
      </c>
      <c r="L118" s="134">
        <f t="shared" si="31"/>
        <v>5948.0790230629464</v>
      </c>
      <c r="M118" s="134">
        <f t="shared" si="31"/>
        <v>1189.6158046125893</v>
      </c>
      <c r="N118" s="134">
        <f t="shared" si="31"/>
        <v>833.28454130181854</v>
      </c>
      <c r="O118" s="134">
        <f t="shared" si="31"/>
        <v>453380.0582635639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1646708.8799259448</v>
      </c>
      <c r="I119" s="15">
        <f t="shared" ref="I119:O119" si="32">I120+I121</f>
        <v>152.416314785</v>
      </c>
      <c r="J119" s="15">
        <f t="shared" si="32"/>
        <v>43.547518510000003</v>
      </c>
      <c r="K119" s="15">
        <f t="shared" si="32"/>
        <v>32660.638882499999</v>
      </c>
      <c r="L119" s="15">
        <f t="shared" si="32"/>
        <v>21773.759255000001</v>
      </c>
      <c r="M119" s="15">
        <f t="shared" si="32"/>
        <v>4354.7518510000009</v>
      </c>
      <c r="N119" s="15">
        <f t="shared" si="32"/>
        <v>3235.9781006000003</v>
      </c>
      <c r="O119" s="15">
        <f t="shared" si="32"/>
        <v>1663409.3532745298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Actividad'!$U116*'FE Sectorial'!$H119*'FE Sectorial'!I119*'FE Sectorial'!P119/1000</f>
        <v>487874.32697074499</v>
      </c>
      <c r="I120" s="17">
        <f>'Datos Actividad'!$U116*'FE Sectorial'!$H119*'FE Sectorial'!J119/1000/1000</f>
        <v>46.553528385000007</v>
      </c>
      <c r="J120" s="17">
        <f>'Datos Actividad'!$U116*'FE Sectorial'!$H119*'FE Sectorial'!K119/1000/1000</f>
        <v>13.301008110000001</v>
      </c>
      <c r="K120" s="17">
        <f>'Datos Actividad'!$U116*'FE Sectorial'!$H119*'FE Sectorial'!L119/1000/1000</f>
        <v>9975.7560825</v>
      </c>
      <c r="L120" s="17">
        <f>'Datos Actividad'!$U116*'FE Sectorial'!$H119*'FE Sectorial'!M119/1000/1000</f>
        <v>6650.5040550000003</v>
      </c>
      <c r="M120" s="17">
        <f>'Datos Actividad'!$U116*'FE Sectorial'!$H119*'FE Sectorial'!N119/1000/1000</f>
        <v>1330.1008110000002</v>
      </c>
      <c r="N120" s="17">
        <f>'Datos Actividad'!$U116*'FE Sectorial'!$H119*'FE Sectorial'!O119/1000/1000</f>
        <v>241.27410060000003</v>
      </c>
      <c r="O120" s="87">
        <f>IF(D120&lt;400,H120+I120*'Factores generales'!$M$41+J120*'Factores generales'!$N$41,I120*'Factores generales'!$M$41+J120*'Factores generales'!$N$41)</f>
        <v>492975.26358093001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Actividad'!$U117*'FE Sectorial'!$H120*'FE Sectorial'!I120*'FE Sectorial'!P120/1000</f>
        <v>1158834.5529552</v>
      </c>
      <c r="I121" s="17">
        <f>'Datos Actividad'!$U117*'FE Sectorial'!$H120*'FE Sectorial'!J120/1000/1000</f>
        <v>105.86278639999999</v>
      </c>
      <c r="J121" s="17">
        <f>'Datos Actividad'!$U117*'FE Sectorial'!$H120*'FE Sectorial'!K120/1000/1000</f>
        <v>30.246510399999998</v>
      </c>
      <c r="K121" s="17">
        <f>'Datos Actividad'!$U117*'FE Sectorial'!$H120*'FE Sectorial'!L120/1000/1000</f>
        <v>22684.882799999999</v>
      </c>
      <c r="L121" s="17">
        <f>'Datos Actividad'!$U117*'FE Sectorial'!$H120*'FE Sectorial'!M120/1000/1000</f>
        <v>15123.2552</v>
      </c>
      <c r="M121" s="17">
        <f>'Datos Actividad'!$U117*'FE Sectorial'!$H120*'FE Sectorial'!N120/1000/1000</f>
        <v>3024.6510400000002</v>
      </c>
      <c r="N121" s="17">
        <f>'Datos Actividad'!$U117*'FE Sectorial'!$H120*'FE Sectorial'!O120/1000/1000</f>
        <v>2994.7040000000002</v>
      </c>
      <c r="O121" s="87">
        <f>IF(D121&lt;400,H121+I121*'Factores generales'!$M$41+J121*'Factores generales'!$N$41,I121*'Factores generales'!$M$41+J121*'Factores generales'!$N$41)</f>
        <v>1170434.0896935998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448817.88165287464</v>
      </c>
      <c r="I122" s="15">
        <f t="shared" ref="I122:O122" si="33">I123+I124</f>
        <v>41.636553161440624</v>
      </c>
      <c r="J122" s="15">
        <f t="shared" si="33"/>
        <v>11.896158046125892</v>
      </c>
      <c r="K122" s="15">
        <f t="shared" si="33"/>
        <v>8922.1185345944195</v>
      </c>
      <c r="L122" s="15">
        <f t="shared" si="33"/>
        <v>5948.0790230629464</v>
      </c>
      <c r="M122" s="15">
        <f t="shared" si="33"/>
        <v>1189.6158046125893</v>
      </c>
      <c r="N122" s="15">
        <f t="shared" si="33"/>
        <v>833.28454130181854</v>
      </c>
      <c r="O122" s="15">
        <f t="shared" si="33"/>
        <v>453380.0582635639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Actividad'!$U119*'FE Sectorial'!$H122*'FE Sectorial'!I122*'FE Sectorial'!P122/1000</f>
        <v>156275.13885287463</v>
      </c>
      <c r="I123" s="17">
        <f>'Datos Actividad'!$U119*'FE Sectorial'!$H122*'FE Sectorial'!J122/1000/1000</f>
        <v>14.911953161440625</v>
      </c>
      <c r="J123" s="17">
        <f>'Datos Actividad'!$U119*'FE Sectorial'!$H122*'FE Sectorial'!K122/1000/1000</f>
        <v>4.2605580461258921</v>
      </c>
      <c r="K123" s="17">
        <f>'Datos Actividad'!$U119*'FE Sectorial'!$H122*'FE Sectorial'!L122/1000/1000</f>
        <v>3195.4185345944193</v>
      </c>
      <c r="L123" s="17">
        <f>'Datos Actividad'!$U119*'FE Sectorial'!$H122*'FE Sectorial'!M122/1000/1000</f>
        <v>2130.2790230629462</v>
      </c>
      <c r="M123" s="17">
        <f>'Datos Actividad'!$U119*'FE Sectorial'!$H122*'FE Sectorial'!N122/1000/1000</f>
        <v>426.05580461258927</v>
      </c>
      <c r="N123" s="17">
        <f>'Datos Actividad'!$U119*'FE Sectorial'!$H122*'FE Sectorial'!O122/1000/1000</f>
        <v>77.284541301818521</v>
      </c>
      <c r="O123" s="87">
        <f>IF(D123&lt;400,H123+I123*'Factores generales'!$M$41+J123*'Factores generales'!$N$41,I123*'Factores generales'!$M$41+J123*'Factores generales'!$N$41)</f>
        <v>157909.06286356392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Actividad'!$U120*'FE Sectorial'!$H123*'FE Sectorial'!I123*'FE Sectorial'!P123/1000</f>
        <v>292542.74280000001</v>
      </c>
      <c r="I124" s="17">
        <f>'Datos Actividad'!$U120*'FE Sectorial'!$H123*'FE Sectorial'!J123/1000/1000</f>
        <v>26.724599999999999</v>
      </c>
      <c r="J124" s="17">
        <f>'Datos Actividad'!$U120*'FE Sectorial'!$H123*'FE Sectorial'!K123/1000/1000</f>
        <v>7.6356000000000002</v>
      </c>
      <c r="K124" s="17">
        <f>'Datos Actividad'!$U120*'FE Sectorial'!$H123*'FE Sectorial'!L123/1000/1000</f>
        <v>5726.7</v>
      </c>
      <c r="L124" s="17">
        <f>'Datos Actividad'!$U120*'FE Sectorial'!$H123*'FE Sectorial'!M123/1000/1000</f>
        <v>3817.8</v>
      </c>
      <c r="M124" s="17">
        <f>'Datos Actividad'!$U120*'FE Sectorial'!$H123*'FE Sectorial'!N123/1000/1000</f>
        <v>763.56</v>
      </c>
      <c r="N124" s="17">
        <f>'Datos Actividad'!$U120*'FE Sectorial'!$H123*'FE Sectorial'!O123/1000/1000</f>
        <v>756</v>
      </c>
      <c r="O124" s="87">
        <f>IF(D124&lt;400,H124+I124*'Factores generales'!$M$41+J124*'Factores generales'!$N$41,I124*'Factores generales'!$M$41+J124*'Factores generales'!$N$41)</f>
        <v>295470.99540000001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1765996.4631911502</v>
      </c>
      <c r="I125" s="134">
        <f t="shared" si="34"/>
        <v>31.705668722340004</v>
      </c>
      <c r="J125" s="134">
        <f t="shared" si="34"/>
        <v>3.1839261122340003</v>
      </c>
      <c r="K125" s="134">
        <f t="shared" si="34"/>
        <v>4744.7176083509994</v>
      </c>
      <c r="L125" s="134">
        <f t="shared" si="34"/>
        <v>632.10948844680001</v>
      </c>
      <c r="M125" s="134">
        <f t="shared" si="34"/>
        <v>158.08303561170001</v>
      </c>
      <c r="N125" s="134">
        <f t="shared" si="34"/>
        <v>1.6155359999999999</v>
      </c>
      <c r="O125" s="134">
        <f t="shared" si="34"/>
        <v>1767649.2993291118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1765996.4631911502</v>
      </c>
      <c r="I126" s="15">
        <f t="shared" si="35"/>
        <v>31.705668722340004</v>
      </c>
      <c r="J126" s="15">
        <f t="shared" si="35"/>
        <v>3.1839261122340003</v>
      </c>
      <c r="K126" s="15">
        <f t="shared" si="35"/>
        <v>4744.7176083509994</v>
      </c>
      <c r="L126" s="15">
        <f t="shared" si="35"/>
        <v>632.10948844680001</v>
      </c>
      <c r="M126" s="15">
        <f t="shared" si="35"/>
        <v>158.08303561170001</v>
      </c>
      <c r="N126" s="15">
        <f t="shared" si="35"/>
        <v>1.6155359999999999</v>
      </c>
      <c r="O126" s="15">
        <f t="shared" si="35"/>
        <v>1767649.2993291118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Actividad'!$U123*'FE Sectorial'!$H126*'FE Sectorial'!I126*'FE Sectorial'!P126/1000</f>
        <v>1747668.7122048002</v>
      </c>
      <c r="I127" s="17">
        <f>'Datos Actividad'!$U123*'FE Sectorial'!$H126*'FE Sectorial'!J126/1000/1000</f>
        <v>31.309286400000001</v>
      </c>
      <c r="J127" s="17">
        <f>'Datos Actividad'!$U123*'FE Sectorial'!$H126*'FE Sectorial'!K126/1000/1000</f>
        <v>3.1309286400000005</v>
      </c>
      <c r="K127" s="17">
        <f>'Datos Actividad'!$U123*'FE Sectorial'!$H126*'FE Sectorial'!L126/1000/1000</f>
        <v>4696.3929600000001</v>
      </c>
      <c r="L127" s="17">
        <f>'Datos Actividad'!$U123*'FE Sectorial'!$H126*'FE Sectorial'!M126/1000/1000</f>
        <v>626.18572800000004</v>
      </c>
      <c r="M127" s="17">
        <f>'Datos Actividad'!$U123*'FE Sectorial'!$H126*'FE Sectorial'!N126/1000/1000</f>
        <v>156.54643200000001</v>
      </c>
      <c r="N127" s="17">
        <f>'Datos Actividad'!$U123*'FE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1749296.7950976002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Actividad'!$U124*'FE Sectorial'!$H127*'FE Sectorial'!I127*'FE Sectorial'!P127/1000</f>
        <v>3266.7349571999989</v>
      </c>
      <c r="I128" s="17">
        <f>'Datos Actividad'!$U124*'FE Sectorial'!$H127*'FE Sectorial'!J127/1000/1000</f>
        <v>0.1335924</v>
      </c>
      <c r="J128" s="17">
        <f>'Datos Actividad'!$U124*'FE Sectorial'!$H127*'FE Sectorial'!K127/1000/1000</f>
        <v>2.6718479999999996E-2</v>
      </c>
      <c r="K128" s="17">
        <f>'Datos Actividad'!$U124*'FE Sectorial'!$H127*'FE Sectorial'!L127/1000/1000</f>
        <v>8.9061599999999999</v>
      </c>
      <c r="L128" s="17">
        <f>'Datos Actividad'!$U124*'FE Sectorial'!$H127*'FE Sectorial'!M127/1000/1000</f>
        <v>0.66796199999999983</v>
      </c>
      <c r="M128" s="17">
        <f>'Datos Actividad'!$U124*'FE Sectorial'!$H127*'FE Sectorial'!N127/1000/1000</f>
        <v>0.22265399999999996</v>
      </c>
      <c r="N128" s="17">
        <f>'Datos Actividad'!$U124*'FE Sectorial'!$H127*'FE Sectorial'!O127/1000/1000</f>
        <v>1.6155359999999999</v>
      </c>
      <c r="O128" s="87">
        <f>IF(D128&lt;400,H128+I128*'Factores generales'!$M$41+J128*'Factores generales'!$N$41,I128*'Factores generales'!$M$41+J128*'Factores generales'!$N$41)</f>
        <v>3277.8231263999987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Actividad'!$U125*'FE Sectorial'!$H128*'FE Sectorial'!I128*'FE Sectorial'!P128/1000</f>
        <v>15061.016029150078</v>
      </c>
      <c r="I129" s="17">
        <f>'Datos Actividad'!$U125*'FE Sectorial'!$H128*'FE Sectorial'!J128/1000/1000</f>
        <v>0.26278992233999998</v>
      </c>
      <c r="J129" s="17">
        <f>'Datos Actividad'!$U125*'FE Sectorial'!$H128*'FE Sectorial'!K128/1000/1000</f>
        <v>2.6278992234000001E-2</v>
      </c>
      <c r="K129" s="17">
        <f>'Datos Actividad'!$U125*'FE Sectorial'!$H128*'FE Sectorial'!L128/1000/1000</f>
        <v>39.418488350999993</v>
      </c>
      <c r="L129" s="17">
        <f>'Datos Actividad'!$U125*'FE Sectorial'!$H128*'FE Sectorial'!M128/1000/1000</f>
        <v>5.2557984468000001</v>
      </c>
      <c r="M129" s="17">
        <f>'Datos Actividad'!$U125*'FE Sectorial'!$H128*'FE Sectorial'!N128/1000/1000</f>
        <v>1.3139496117</v>
      </c>
      <c r="N129" s="17">
        <f>'Datos Actividad'!$U125*'FE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15074.681105111757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26088749.100473996</v>
      </c>
      <c r="I131" s="129">
        <f t="shared" si="36"/>
        <v>2965.9474169443952</v>
      </c>
      <c r="J131" s="129">
        <f t="shared" si="36"/>
        <v>205.87133602700936</v>
      </c>
      <c r="K131" s="129">
        <f t="shared" si="36"/>
        <v>182043.77432829281</v>
      </c>
      <c r="L131" s="129">
        <f t="shared" si="36"/>
        <v>266337.20379412442</v>
      </c>
      <c r="M131" s="129">
        <f t="shared" si="36"/>
        <v>33931.220093195632</v>
      </c>
      <c r="N131" s="129">
        <f t="shared" si="36"/>
        <v>8725.2312196528637</v>
      </c>
      <c r="O131" s="129">
        <f t="shared" si="36"/>
        <v>26214854.110398199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2743378.009298759</v>
      </c>
      <c r="I132" s="134">
        <f>SUM(I133:I137)</f>
        <v>59.009673489566481</v>
      </c>
      <c r="J132" s="134">
        <f t="shared" ref="J132:O132" si="37">SUM(J133:J137)</f>
        <v>7.6906920066037072</v>
      </c>
      <c r="K132" s="134">
        <f t="shared" si="37"/>
        <v>6763.4389228467371</v>
      </c>
      <c r="L132" s="134">
        <f t="shared" si="37"/>
        <v>2174.9363228312654</v>
      </c>
      <c r="M132" s="134">
        <f t="shared" si="37"/>
        <v>235.39087885959711</v>
      </c>
      <c r="N132" s="134">
        <f t="shared" si="37"/>
        <v>589.07602473489123</v>
      </c>
      <c r="O132" s="134">
        <f t="shared" si="37"/>
        <v>2747001.3269640864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Actividad'!$U129*'FE Sectorial'!$H132*'FE Sectorial'!I132*'FE Sectorial'!P132/1000</f>
        <v>0</v>
      </c>
      <c r="I133" s="17">
        <f>'Datos Actividad'!$U129*'FE Sectorial'!$H132*'FE Sectorial'!J132/1000/1000</f>
        <v>0</v>
      </c>
      <c r="J133" s="17">
        <f>'Datos Actividad'!$U129*'FE Sectorial'!$H132*'FE Sectorial'!K132/1000/1000</f>
        <v>0</v>
      </c>
      <c r="K133" s="17">
        <f>'Datos Actividad'!$U129*'FE Sectorial'!$H132*'FE Sectorial'!L132/1000/1000</f>
        <v>0</v>
      </c>
      <c r="L133" s="17">
        <f>'Datos Actividad'!$U129*'FE Sectorial'!$H132*'FE Sectorial'!M132/1000/1000</f>
        <v>0</v>
      </c>
      <c r="M133" s="17">
        <f>'Datos Actividad'!$U129*'FE Sectorial'!$H132*'FE Sectorial'!N132/1000/1000</f>
        <v>0</v>
      </c>
      <c r="N133" s="17">
        <f>'Datos Actividad'!$U129*'FE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Actividad'!$U130*'FE Sectorial'!$H133*'FE Sectorial'!I133*'FE Sectorial'!P133/1000</f>
        <v>2266519.4197961045</v>
      </c>
      <c r="I134" s="17">
        <f>'Datos Actividad'!$U130*'FE Sectorial'!$H133*'FE Sectorial'!J133/1000/1000</f>
        <v>40.604437872000005</v>
      </c>
      <c r="J134" s="17">
        <f>'Datos Actividad'!$U130*'FE Sectorial'!$H133*'FE Sectorial'!K133/1000/1000</f>
        <v>4.0604437872000005</v>
      </c>
      <c r="K134" s="17">
        <f>'Datos Actividad'!$U130*'FE Sectorial'!$H133*'FE Sectorial'!L133/1000/1000</f>
        <v>6090.6656807999998</v>
      </c>
      <c r="L134" s="17">
        <f>'Datos Actividad'!$U130*'FE Sectorial'!$H133*'FE Sectorial'!M133/1000/1000</f>
        <v>2030.2218936000002</v>
      </c>
      <c r="M134" s="17">
        <f>'Datos Actividad'!$U130*'FE Sectorial'!$H133*'FE Sectorial'!N133/1000/1000</f>
        <v>203.02218936000003</v>
      </c>
      <c r="N134" s="17">
        <f>'Datos Actividad'!$U130*'FE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2268630.8505654484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Actividad'!$U131*'FE Sectorial'!$H134*'FE Sectorial'!I134*'FE Sectorial'!P134/1000</f>
        <v>31733.567408219176</v>
      </c>
      <c r="I135" s="17">
        <f>'Datos Actividad'!$U131*'FE Sectorial'!$H134*'FE Sectorial'!J134/1000/1000</f>
        <v>0.50798904109589038</v>
      </c>
      <c r="J135" s="17">
        <f>'Datos Actividad'!$U131*'FE Sectorial'!$H134*'FE Sectorial'!K134/1000/1000</f>
        <v>5.0798904109589045E-2</v>
      </c>
      <c r="K135" s="17">
        <f>'Datos Actividad'!$U131*'FE Sectorial'!$H134*'FE Sectorial'!L134/1000/1000</f>
        <v>76.198356164383554</v>
      </c>
      <c r="L135" s="17">
        <f>'Datos Actividad'!$U131*'FE Sectorial'!$H134*'FE Sectorial'!M134/1000/1000</f>
        <v>25.399452054794523</v>
      </c>
      <c r="M135" s="17">
        <f>'Datos Actividad'!$U131*'FE Sectorial'!$H134*'FE Sectorial'!N134/1000/1000</f>
        <v>2.539945205479452</v>
      </c>
      <c r="N135" s="17">
        <f>'Datos Actividad'!$U131*'FE Sectorial'!$H134*'FE Sectorial'!O134/1000/1000</f>
        <v>2.1479452054794526</v>
      </c>
      <c r="O135" s="87">
        <f>IF(D135&lt;400,H135+I135*'Factores generales'!$M$41+J135*'Factores generales'!$N$41,I135*'Factores generales'!$M$41+J135*'Factores generales'!$N$41)</f>
        <v>31759.982838356162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Actividad'!$U132*'FE Sectorial'!$H135*'FE Sectorial'!I135*'FE Sectorial'!P135/1000</f>
        <v>269599.37641443528</v>
      </c>
      <c r="I136" s="17">
        <f>'Datos Actividad'!$U132*'FE Sectorial'!$H135*'FE Sectorial'!J135/1000/1000</f>
        <v>11.025206576470589</v>
      </c>
      <c r="J136" s="17">
        <f>'Datos Actividad'!$U132*'FE Sectorial'!$H135*'FE Sectorial'!K135/1000/1000</f>
        <v>2.205041315294118</v>
      </c>
      <c r="K136" s="17">
        <f>'Datos Actividad'!$U132*'FE Sectorial'!$H135*'FE Sectorial'!L135/1000/1000</f>
        <v>367.506885882353</v>
      </c>
      <c r="L136" s="17">
        <f>'Datos Actividad'!$U132*'FE Sectorial'!$H135*'FE Sectorial'!M135/1000/1000</f>
        <v>73.501377176470584</v>
      </c>
      <c r="M136" s="17">
        <f>'Datos Actividad'!$U132*'FE Sectorial'!$H135*'FE Sectorial'!N135/1000/1000</f>
        <v>18.375344294117646</v>
      </c>
      <c r="N136" s="17">
        <f>'Datos Actividad'!$U132*'FE Sectorial'!$H135*'FE Sectorial'!O135/1000/1000</f>
        <v>133.32807952941178</v>
      </c>
      <c r="O136" s="87">
        <f>IF(D136&lt;400,H136+I136*'Factores generales'!$M$41+J136*'Factores generales'!$N$41,I136*'Factores generales'!$M$41+J136*'Factores generales'!$N$41)</f>
        <v>270514.46856028232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Actividad'!$U133*'FE Sectorial'!$H136*'FE Sectorial'!I136*'FE Sectorial'!P136/1000</f>
        <v>175525.64568000002</v>
      </c>
      <c r="I137" s="17">
        <f>'Datos Actividad'!$U133*'FE Sectorial'!$H136*'FE Sectorial'!J136/1000/1000</f>
        <v>6.8720400000000001</v>
      </c>
      <c r="J137" s="17">
        <f>'Datos Actividad'!$U133*'FE Sectorial'!$H136*'FE Sectorial'!K136/1000/1000</f>
        <v>1.3744079999999999</v>
      </c>
      <c r="K137" s="17">
        <f>'Datos Actividad'!$U133*'FE Sectorial'!$H136*'FE Sectorial'!L136/1000/1000</f>
        <v>229.06800000000001</v>
      </c>
      <c r="L137" s="17">
        <f>'Datos Actividad'!$U133*'FE Sectorial'!$H136*'FE Sectorial'!M136/1000/1000</f>
        <v>45.813600000000001</v>
      </c>
      <c r="M137" s="17">
        <f>'Datos Actividad'!$U133*'FE Sectorial'!$H136*'FE Sectorial'!N136/1000/1000</f>
        <v>11.4534</v>
      </c>
      <c r="N137" s="17">
        <f>'Datos Actividad'!$U133*'FE Sectorial'!$H136*'FE Sectorial'!O136/1000/1000</f>
        <v>453.6</v>
      </c>
      <c r="O137" s="87">
        <f>IF(D137&lt;400,H137+I137*'Factores generales'!$M$41+J137*'Factores generales'!$N$41,I137*'Factores generales'!$M$41+J137*'Factores generales'!$N$41)</f>
        <v>176096.02500000002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15139196.013234062</v>
      </c>
      <c r="I138" s="134">
        <f>SUM(I139:I144)</f>
        <v>2571.3480375724757</v>
      </c>
      <c r="J138" s="134">
        <f t="shared" ref="J138:O138" si="38">SUM(J139:J144)</f>
        <v>131.06270284393509</v>
      </c>
      <c r="K138" s="134">
        <f t="shared" si="38"/>
        <v>41044.453052504898</v>
      </c>
      <c r="L138" s="134">
        <f t="shared" si="38"/>
        <v>152299.03217717551</v>
      </c>
      <c r="M138" s="134">
        <f t="shared" si="38"/>
        <v>11323.182155512508</v>
      </c>
      <c r="N138" s="134">
        <f t="shared" si="38"/>
        <v>4077.8610772709135</v>
      </c>
      <c r="O138" s="134">
        <f t="shared" si="38"/>
        <v>15233823.759904703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Actividad'!$U135*'FE Sectorial'!$H138*'FE Sectorial'!I138*'FE Sectorial'!P138/1000</f>
        <v>1223651.52</v>
      </c>
      <c r="I139" s="17">
        <f>'Datos Actividad'!$U135*'FE Sectorial'!$H138*'FE Sectorial'!J138/1000/1000</f>
        <v>376.74</v>
      </c>
      <c r="J139" s="17">
        <f>'Datos Actividad'!$U135*'FE Sectorial'!$H138*'FE Sectorial'!K138/1000/1000</f>
        <v>50.231999999999999</v>
      </c>
      <c r="K139" s="17">
        <f>'Datos Actividad'!$U135*'FE Sectorial'!$H138*'FE Sectorial'!L138/1000/1000</f>
        <v>1255.8</v>
      </c>
      <c r="L139" s="17">
        <f>'Datos Actividad'!$U135*'FE Sectorial'!$H138*'FE Sectorial'!M138/1000/1000</f>
        <v>62790</v>
      </c>
      <c r="M139" s="17">
        <f>'Datos Actividad'!$U135*'FE Sectorial'!$H138*'FE Sectorial'!N138/1000/1000</f>
        <v>7534.8</v>
      </c>
      <c r="N139" s="17">
        <f>'Datos Actividad'!$U135*'FE Sectorial'!$H138*'FE Sectorial'!O138/1000/1000</f>
        <v>3220</v>
      </c>
      <c r="O139" s="87">
        <f>IF(D139&lt;400,H139+I139*'Factores generales'!$M$41+J139*'Factores generales'!$N$41,I139*'Factores generales'!$M$41+J139*'Factores generales'!$N$41)</f>
        <v>23483.46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Actividad'!$U136*'FE Sectorial'!$H139*'FE Sectorial'!I139*'FE Sectorial'!P139/1000</f>
        <v>226779.94869714792</v>
      </c>
      <c r="I140" s="17">
        <f>'Datos Actividad'!$U136*'FE Sectorial'!$H139*'FE Sectorial'!J139/1000/1000</f>
        <v>78.199982309361332</v>
      </c>
      <c r="J140" s="17">
        <f>'Datos Actividad'!$U136*'FE Sectorial'!$H139*'FE Sectorial'!K139/1000/1000</f>
        <v>10.426664307914844</v>
      </c>
      <c r="K140" s="17">
        <f>'Datos Actividad'!$U136*'FE Sectorial'!$H139*'FE Sectorial'!L139/1000/1000</f>
        <v>260.66660769787114</v>
      </c>
      <c r="L140" s="17">
        <f>'Datos Actividad'!$U136*'FE Sectorial'!$H139*'FE Sectorial'!M139/1000/1000</f>
        <v>13033.330384893557</v>
      </c>
      <c r="M140" s="17">
        <f>'Datos Actividad'!$U136*'FE Sectorial'!$H139*'FE Sectorial'!N139/1000/1000</f>
        <v>1563.9996461872267</v>
      </c>
      <c r="N140" s="17">
        <f>'Datos Actividad'!$U136*'FE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4874.4655639501898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Actividad'!$U137*'FE Sectorial'!$H140*'FE Sectorial'!I140*'FE Sectorial'!P140/1000</f>
        <v>11675918.06408808</v>
      </c>
      <c r="I141" s="17">
        <f>'Datos Actividad'!$U137*'FE Sectorial'!$H140*'FE Sectorial'!J140/1000/1000</f>
        <v>209.17274544</v>
      </c>
      <c r="J141" s="17">
        <f>'Datos Actividad'!$U137*'FE Sectorial'!$H140*'FE Sectorial'!K140/1000/1000</f>
        <v>20.917274544000001</v>
      </c>
      <c r="K141" s="17">
        <f>'Datos Actividad'!$U137*'FE Sectorial'!$H140*'FE Sectorial'!L140/1000/1000</f>
        <v>31375.911816</v>
      </c>
      <c r="L141" s="17">
        <f>'Datos Actividad'!$U137*'FE Sectorial'!$H140*'FE Sectorial'!M140/1000/1000</f>
        <v>10458.637272</v>
      </c>
      <c r="M141" s="17">
        <f>'Datos Actividad'!$U137*'FE Sectorial'!$H140*'FE Sectorial'!N140/1000/1000</f>
        <v>1045.8637272000001</v>
      </c>
      <c r="N141" s="17">
        <f>'Datos Actividad'!$U137*'FE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11686795.046850959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Actividad'!$U138*'FE Sectorial'!$H141*'FE Sectorial'!I141*'FE Sectorial'!P141/1000</f>
        <v>2375257.5205052057</v>
      </c>
      <c r="I142" s="17">
        <f>'Datos Actividad'!$U138*'FE Sectorial'!$H141*'FE Sectorial'!J141/1000/1000</f>
        <v>38.022979726027401</v>
      </c>
      <c r="J142" s="17">
        <f>'Datos Actividad'!$U138*'FE Sectorial'!$H141*'FE Sectorial'!K141/1000/1000</f>
        <v>3.8022979726027399</v>
      </c>
      <c r="K142" s="17">
        <f>'Datos Actividad'!$U138*'FE Sectorial'!$H141*'FE Sectorial'!L141/1000/1000</f>
        <v>5703.44695890411</v>
      </c>
      <c r="L142" s="17">
        <f>'Datos Actividad'!$U138*'FE Sectorial'!$H141*'FE Sectorial'!M141/1000/1000</f>
        <v>1901.1489863013699</v>
      </c>
      <c r="M142" s="17">
        <f>'Datos Actividad'!$U138*'FE Sectorial'!$H141*'FE Sectorial'!N141/1000/1000</f>
        <v>190.11489863013699</v>
      </c>
      <c r="N142" s="17">
        <f>'Datos Actividad'!$U138*'FE Sectorial'!$H141*'FE Sectorial'!O141/1000/1000</f>
        <v>160.77369863013703</v>
      </c>
      <c r="O142" s="87">
        <f>IF(D142&lt;400,H142+I142*'Factores generales'!$M$41+J142*'Factores generales'!$N$41,I142*'Factores generales'!$M$41+J142*'Factores generales'!$N$41)</f>
        <v>2377234.7154509588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Actividad'!$U139*'FE Sectorial'!$H142*'FE Sectorial'!I142*'FE Sectorial'!P142/1000</f>
        <v>1088020.4286407765</v>
      </c>
      <c r="I143" s="17">
        <f>'Datos Actividad'!$U139*'FE Sectorial'!$H142*'FE Sectorial'!J142/1000/1000</f>
        <v>46.11233009708738</v>
      </c>
      <c r="J143" s="17">
        <f>'Datos Actividad'!$U139*'FE Sectorial'!$H142*'FE Sectorial'!K142/1000/1000</f>
        <v>9.2224660194174763</v>
      </c>
      <c r="K143" s="17">
        <f>'Datos Actividad'!$U139*'FE Sectorial'!$H142*'FE Sectorial'!L142/1000/1000</f>
        <v>1537.0776699029125</v>
      </c>
      <c r="L143" s="17">
        <f>'Datos Actividad'!$U139*'FE Sectorial'!$H142*'FE Sectorial'!M142/1000/1000</f>
        <v>307.41553398058255</v>
      </c>
      <c r="M143" s="17">
        <f>'Datos Actividad'!$U139*'FE Sectorial'!$H142*'FE Sectorial'!N142/1000/1000</f>
        <v>76.853883495145638</v>
      </c>
      <c r="N143" s="17">
        <f>'Datos Actividad'!$U139*'FE Sectorial'!$H142*'FE Sectorial'!O142/1000/1000</f>
        <v>697.08737864077671</v>
      </c>
      <c r="O143" s="87">
        <f>IF(D143&lt;400,H143+I143*'Factores generales'!$M$41+J143*'Factores generales'!$N$41,I143*'Factores generales'!$M$41+J143*'Factores generales'!$N$41)</f>
        <v>1091847.7520388348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Actividad'!$U140*'FE Sectorial'!$H143*'FE Sectorial'!I143*'FE Sectorial'!P143/1000</f>
        <v>888214.32</v>
      </c>
      <c r="I144" s="17">
        <f>'Datos Actividad'!$U140*'FE Sectorial'!$H143*'FE Sectorial'!J143/1000/1000</f>
        <v>1823.1</v>
      </c>
      <c r="J144" s="17">
        <f>'Datos Actividad'!$U140*'FE Sectorial'!$H143*'FE Sectorial'!K143/1000/1000</f>
        <v>36.462000000000003</v>
      </c>
      <c r="K144" s="17">
        <f>'Datos Actividad'!$U140*'FE Sectorial'!$H143*'FE Sectorial'!L143/1000/1000</f>
        <v>911.55</v>
      </c>
      <c r="L144" s="17">
        <f>'Datos Actividad'!$U140*'FE Sectorial'!$H143*'FE Sectorial'!M143/1000/1000</f>
        <v>63808.5</v>
      </c>
      <c r="M144" s="17">
        <f>'Datos Actividad'!$U140*'FE Sectorial'!$H143*'FE Sectorial'!N143/1000/1000</f>
        <v>911.55</v>
      </c>
      <c r="N144" s="17">
        <f>'Datos Actividad'!$U140*'FE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49588.32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8206175.0779411756</v>
      </c>
      <c r="I145" s="134">
        <f t="shared" ref="I145:O145" si="39">SUM(I146:I149)</f>
        <v>335.58970588235297</v>
      </c>
      <c r="J145" s="134">
        <f t="shared" si="39"/>
        <v>67.117941176470566</v>
      </c>
      <c r="K145" s="134">
        <f t="shared" si="39"/>
        <v>134235.88235294117</v>
      </c>
      <c r="L145" s="134">
        <f t="shared" si="39"/>
        <v>111863.23529411765</v>
      </c>
      <c r="M145" s="134">
        <f t="shared" si="39"/>
        <v>22372.647058823528</v>
      </c>
      <c r="N145" s="134">
        <f t="shared" si="39"/>
        <v>4058.294117647059</v>
      </c>
      <c r="O145" s="134">
        <f t="shared" si="39"/>
        <v>8234029.0235294113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Actividad'!$U142*'FE Sectorial'!$H145*'FE Sectorial'!I145*'FE Sectorial'!P145/1000</f>
        <v>0</v>
      </c>
      <c r="I146" s="17">
        <f>'Datos Actividad'!$U142*'FE Sectorial'!$H145*'FE Sectorial'!J145/1000/1000</f>
        <v>0</v>
      </c>
      <c r="J146" s="17">
        <f>'Datos Actividad'!$U142*'FE Sectorial'!$H145*'FE Sectorial'!K145/1000/1000</f>
        <v>0</v>
      </c>
      <c r="K146" s="17">
        <f>'Datos Actividad'!$U142*'FE Sectorial'!$H145*'FE Sectorial'!L145/1000/1000</f>
        <v>0</v>
      </c>
      <c r="L146" s="17">
        <f>'Datos Actividad'!$U142*'FE Sectorial'!$H145*'FE Sectorial'!M145/1000/1000</f>
        <v>0</v>
      </c>
      <c r="M146" s="17">
        <f>'Datos Actividad'!$U142*'FE Sectorial'!$H145*'FE Sectorial'!N145/1000/1000</f>
        <v>0</v>
      </c>
      <c r="N146" s="17">
        <f>'Datos Actividad'!$U142*'FE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Actividad'!$U143*'FE Sectorial'!$H146*'FE Sectorial'!I146*'FE Sectorial'!P146/1000</f>
        <v>0</v>
      </c>
      <c r="I147" s="17">
        <f>'Datos Actividad'!$U143*'FE Sectorial'!$H146*'FE Sectorial'!J146/1000/1000</f>
        <v>0</v>
      </c>
      <c r="J147" s="17">
        <f>'Datos Actividad'!$U143*'FE Sectorial'!$H146*'FE Sectorial'!K146/1000/1000</f>
        <v>0</v>
      </c>
      <c r="K147" s="17">
        <f>'Datos Actividad'!$U143*'FE Sectorial'!$H146*'FE Sectorial'!L146/1000/1000</f>
        <v>0</v>
      </c>
      <c r="L147" s="17">
        <f>'Datos Actividad'!$U143*'FE Sectorial'!$H146*'FE Sectorial'!M146/1000/1000</f>
        <v>0</v>
      </c>
      <c r="M147" s="17">
        <f>'Datos Actividad'!$U143*'FE Sectorial'!$H146*'FE Sectorial'!N146/1000/1000</f>
        <v>0</v>
      </c>
      <c r="N147" s="17">
        <f>'Datos Actividad'!$U143*'FE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Actividad'!$U144*'FE Sectorial'!$H147*'FE Sectorial'!I147*'FE Sectorial'!P147/1000</f>
        <v>8206175.0779411756</v>
      </c>
      <c r="I148" s="17">
        <f>'Datos Actividad'!$U144*'FE Sectorial'!$H147*'FE Sectorial'!J147/1000/1000</f>
        <v>335.58970588235297</v>
      </c>
      <c r="J148" s="17">
        <f>'Datos Actividad'!$U144*'FE Sectorial'!$H147*'FE Sectorial'!K147/1000/1000</f>
        <v>67.117941176470566</v>
      </c>
      <c r="K148" s="17">
        <f>'Datos Actividad'!$U144*'FE Sectorial'!$H147*'FE Sectorial'!L147/1000/1000</f>
        <v>134235.88235294117</v>
      </c>
      <c r="L148" s="17">
        <f>'Datos Actividad'!$U144*'FE Sectorial'!$H147*'FE Sectorial'!M147/1000/1000</f>
        <v>111863.23529411765</v>
      </c>
      <c r="M148" s="17">
        <f>'Datos Actividad'!$U144*'FE Sectorial'!$H147*'FE Sectorial'!N147/1000/1000</f>
        <v>22372.647058823528</v>
      </c>
      <c r="N148" s="17">
        <f>'Datos Actividad'!$U144*'FE Sectorial'!$H147*'FE Sectorial'!O147/1000/1000</f>
        <v>4058.294117647059</v>
      </c>
      <c r="O148" s="87">
        <f>IF(D148&lt;400,H148+I148*'Factores generales'!$M$41+J148*'Factores generales'!$N$41,I148*'Factores generales'!$M$41+J148*'Factores generales'!$N$41)</f>
        <v>8234029.0235294113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Actividad'!$U145*'FE Sectorial'!$H148*'FE Sectorial'!I148*'FE Sectorial'!P148/1000</f>
        <v>0</v>
      </c>
      <c r="I149" s="17">
        <f>'Datos Actividad'!$U145*'FE Sectorial'!$H148*'FE Sectorial'!J148/1000/1000</f>
        <v>0</v>
      </c>
      <c r="J149" s="17">
        <f>'Datos Actividad'!$U145*'FE Sectorial'!$H148*'FE Sectorial'!K148/1000/1000</f>
        <v>0</v>
      </c>
      <c r="K149" s="17">
        <f>'Datos Actividad'!$U145*'FE Sectorial'!$H148*'FE Sectorial'!L148/1000/1000</f>
        <v>0</v>
      </c>
      <c r="L149" s="17">
        <f>'Datos Actividad'!$U145*'FE Sectorial'!$H148*'FE Sectorial'!M148/1000/1000</f>
        <v>0</v>
      </c>
      <c r="M149" s="17">
        <f>'Datos Actividad'!$U145*'FE Sectorial'!$H148*'FE Sectorial'!N148/1000/1000</f>
        <v>0</v>
      </c>
      <c r="N149" s="17">
        <f>'Datos Actividad'!$U145*'FE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Actividad'!$U147*'FE Sectorial'!$H150*'FE Sectorial'!I150*'FE Sectorial'!P150/1000</f>
        <v>0</v>
      </c>
      <c r="I151" s="134">
        <f>'Datos Actividad'!$U147*'FE Sectorial'!$H150*'FE Sectorial'!J150/1000/1000</f>
        <v>0</v>
      </c>
      <c r="J151" s="134">
        <f>'Datos Actividad'!$U147*'FE Sectorial'!$H150*'FE Sectorial'!K150/1000/1000</f>
        <v>0</v>
      </c>
      <c r="K151" s="134">
        <f>'Datos Actividad'!$U147*'FE Sectorial'!$H150*'FE Sectorial'!L150/1000/1000</f>
        <v>0</v>
      </c>
      <c r="L151" s="134">
        <f>'Datos Actividad'!$U147*'FE Sectorial'!$H150*'FE Sectorial'!M150/1000/1000</f>
        <v>0</v>
      </c>
      <c r="M151" s="134">
        <f>'Datos Actividad'!$U147*'FE Sectorial'!$H150*'FE Sectorial'!N150/1000/1000</f>
        <v>0</v>
      </c>
      <c r="N151" s="134">
        <f>'Datos Actividad'!$U147*'FE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Actividad'!$U148*'FE Sectorial'!$H151*'FE Sectorial'!I151*'FE Sectorial'!P151/1000</f>
        <v>0</v>
      </c>
      <c r="I152" s="134">
        <f>'Datos Actividad'!$U148*'FE Sectorial'!$H151*'FE Sectorial'!J151/1000/1000</f>
        <v>0</v>
      </c>
      <c r="J152" s="134">
        <f>'Datos Actividad'!$U148*'FE Sectorial'!$H151*'FE Sectorial'!K151/1000/1000</f>
        <v>0</v>
      </c>
      <c r="K152" s="134">
        <f>'Datos Actividad'!$U148*'FE Sectorial'!$H151*'FE Sectorial'!L151/1000/1000</f>
        <v>0</v>
      </c>
      <c r="L152" s="134">
        <f>'Datos Actividad'!$U148*'FE Sectorial'!$H151*'FE Sectorial'!M151/1000/1000</f>
        <v>0</v>
      </c>
      <c r="M152" s="134">
        <f>'Datos Actividad'!$U148*'FE Sectorial'!$H151*'FE Sectorial'!N151/1000/1000</f>
        <v>0</v>
      </c>
      <c r="N152" s="134">
        <f>'Datos Actividad'!$U148*'FE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4552564.8629448405</v>
      </c>
      <c r="I153" s="124">
        <f t="shared" ref="I153:N153" si="41">I154+I168</f>
        <v>284062.16214286251</v>
      </c>
      <c r="J153" s="124">
        <f t="shared" si="41"/>
        <v>36.771420620041688</v>
      </c>
      <c r="K153" s="124">
        <f t="shared" si="41"/>
        <v>1383.1624376625596</v>
      </c>
      <c r="L153" s="124">
        <f t="shared" si="41"/>
        <v>2213.0512800000001</v>
      </c>
      <c r="M153" s="124">
        <f t="shared" si="41"/>
        <v>114674.16932686542</v>
      </c>
      <c r="N153" s="124">
        <f t="shared" si="41"/>
        <v>22130.5128</v>
      </c>
      <c r="O153" s="124">
        <f>IF(D153&lt;400,H153+I153*'Factores generales'!$M$41+J153*'Factores generales'!$N$41,I153*'Factores generales'!$M$41+J153*'Factores generales'!$N$41)</f>
        <v>10529269.408337167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4552564.8629448405</v>
      </c>
      <c r="I168" s="129">
        <f t="shared" ref="I168:O168" si="44">I169+I188+I204</f>
        <v>281350.57076250343</v>
      </c>
      <c r="J168" s="129">
        <f t="shared" si="44"/>
        <v>36.771420620041688</v>
      </c>
      <c r="K168" s="129">
        <f t="shared" si="44"/>
        <v>1383.1624376625596</v>
      </c>
      <c r="L168" s="129">
        <f t="shared" si="44"/>
        <v>2213.0512800000001</v>
      </c>
      <c r="M168" s="129">
        <f t="shared" si="44"/>
        <v>114674.16932686542</v>
      </c>
      <c r="N168" s="129">
        <f t="shared" si="44"/>
        <v>22130.5128</v>
      </c>
      <c r="O168" s="129">
        <f t="shared" si="44"/>
        <v>10472325.989349626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54046.837188649064</v>
      </c>
      <c r="I169" s="134">
        <f t="shared" ref="I169:O169" si="45">SUM(I170:I187)</f>
        <v>15834.775357634337</v>
      </c>
      <c r="J169" s="134">
        <f t="shared" si="45"/>
        <v>0.38262074538634205</v>
      </c>
      <c r="K169" s="134">
        <f t="shared" si="45"/>
        <v>1383.1624376625596</v>
      </c>
      <c r="L169" s="134">
        <f t="shared" si="45"/>
        <v>2213.0512800000001</v>
      </c>
      <c r="M169" s="134">
        <f t="shared" si="45"/>
        <v>70700.531438127247</v>
      </c>
      <c r="N169" s="134">
        <f t="shared" si="45"/>
        <v>22130.5128</v>
      </c>
      <c r="O169" s="134">
        <f t="shared" si="45"/>
        <v>386695.73213003995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Actividad'!$U167*'FE Sectorial'!I170*1000</f>
        <v>2043.9349776881907</v>
      </c>
      <c r="I171" s="92">
        <f>'Datos Actividad'!$U167*'FE Sectorial'!J170*1000</f>
        <v>43.401583560832279</v>
      </c>
      <c r="J171" s="92">
        <f>'Datos Actividad'!$U167*'FE Sectorial'!K170*1000</f>
        <v>1.5042273764295077E-2</v>
      </c>
      <c r="K171" s="92">
        <f>'Datos Actividad'!$U167*'FE Sectorial'!L170*1000</f>
        <v>0</v>
      </c>
      <c r="L171" s="92">
        <f>'Datos Actividad'!$U167*'FE Sectorial'!M170*1000</f>
        <v>0</v>
      </c>
      <c r="M171" s="92">
        <f>'Datos Actividad'!$U167*'FE Sectorial'!N170*1000</f>
        <v>6.6877264559568443</v>
      </c>
      <c r="N171" s="92">
        <f>'Datos Actividad'!$U167*'FE Sectorial'!O170*1000</f>
        <v>0</v>
      </c>
      <c r="O171" s="87">
        <f>IF(D171&lt;400,H171+I171*'Factores generales'!$M$41+J171*'Factores generales'!$N$41,I171*'Factores generales'!$M$41+J171*'Factores generales'!$N$41)</f>
        <v>2960.0313373325998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Actividad'!$U168*'FE Sectorial'!I171*1000</f>
        <v>3864.8952305376697</v>
      </c>
      <c r="I172" s="92">
        <f>'Datos Actividad'!$U168*'FE Sectorial'!J171*1000</f>
        <v>82.068448915028299</v>
      </c>
      <c r="J172" s="92">
        <f>'Datos Actividad'!$U168*'FE Sectorial'!K171*1000</f>
        <v>2.8443572208848876E-2</v>
      </c>
      <c r="K172" s="92">
        <f>'Datos Actividad'!$U168*'FE Sectorial'!L171*1000</f>
        <v>0</v>
      </c>
      <c r="L172" s="92">
        <f>'Datos Actividad'!$U168*'FE Sectorial'!M171*1000</f>
        <v>0</v>
      </c>
      <c r="M172" s="92">
        <f>'Datos Actividad'!$U168*'FE Sectorial'!N171*1000</f>
        <v>12.645882753082031</v>
      </c>
      <c r="N172" s="92">
        <f>'Datos Actividad'!$U168*'FE Sectorial'!O171*1000</f>
        <v>0</v>
      </c>
      <c r="O172" s="87">
        <f>IF(D172&lt;400,H172+I172*'Factores generales'!$M$41+J172*'Factores generales'!$N$41,I172*'Factores generales'!$M$41+J172*'Factores generales'!$N$41)</f>
        <v>5597.1501651380077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Actividad'!$U169*'FE Sectorial'!I172*1000</f>
        <v>46081.443133333756</v>
      </c>
      <c r="I173" s="92">
        <f>'Datos Actividad'!$U169*'FE Sectorial'!J172*1000</f>
        <v>978.50842937149127</v>
      </c>
      <c r="J173" s="92">
        <f>'Datos Actividad'!$U169*'FE Sectorial'!K172*1000</f>
        <v>0.33913489941319808</v>
      </c>
      <c r="K173" s="92">
        <f>'Datos Actividad'!$U169*'FE Sectorial'!L172*1000</f>
        <v>0</v>
      </c>
      <c r="L173" s="92">
        <f>'Datos Actividad'!$U169*'FE Sectorial'!M172*1000</f>
        <v>0</v>
      </c>
      <c r="M173" s="92">
        <f>'Datos Actividad'!$U169*'FE Sectorial'!N172*1000</f>
        <v>150.77783282520883</v>
      </c>
      <c r="N173" s="92">
        <f>'Datos Actividad'!$U169*'FE Sectorial'!O172*1000</f>
        <v>0</v>
      </c>
      <c r="O173" s="87">
        <f>IF(D173&lt;400,H173+I173*'Factores generales'!$M$41+J173*'Factores generales'!$N$41,I173*'Factores generales'!$M$41+J173*'Factores generales'!$N$41)</f>
        <v>66735.251968953162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Actividad'!$U171*'FE Sectorial'!I174</f>
        <v>991.07349043310478</v>
      </c>
      <c r="I175" s="92">
        <f>'Datos Actividad'!$U171*'FE Sectorial'!J174</f>
        <v>13670.882291999998</v>
      </c>
      <c r="J175" s="92">
        <f>'Datos Actividad'!$U171*'FE Sectorial'!K174</f>
        <v>0</v>
      </c>
      <c r="K175" s="92">
        <f>'Datos Actividad'!$U171*'FE Sectorial'!L174</f>
        <v>0</v>
      </c>
      <c r="L175" s="92">
        <f>'Datos Actividad'!$U171*'FE Sectorial'!M174</f>
        <v>0</v>
      </c>
      <c r="M175" s="92">
        <f>'Datos Actividad'!$U171*'FE Sectorial'!N174</f>
        <v>16743.342974525094</v>
      </c>
      <c r="N175" s="92">
        <f>'Datos Actividad'!$U171*'FE Sectorial'!O174</f>
        <v>0</v>
      </c>
      <c r="O175" s="87">
        <f>IF(D175&lt;400,H175+I175*'Factores generales'!$M$41+J175*'Factores generales'!$N$41,I175*'Factores generales'!$M$41+J175*'Factores generales'!$N$41)</f>
        <v>288079.60162243305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Actividad'!$U173*'FE Sectorial'!I176</f>
        <v>0</v>
      </c>
      <c r="I177" s="92">
        <f>'Datos Actividad'!$U173*'FE Sectorial'!J176</f>
        <v>562.44977424395063</v>
      </c>
      <c r="J177" s="92">
        <f>'Datos Actividad'!$U173*'FE Sectorial'!K176</f>
        <v>0</v>
      </c>
      <c r="K177" s="92">
        <f>'Datos Actividad'!$U173*'FE Sectorial'!L176</f>
        <v>0</v>
      </c>
      <c r="L177" s="92">
        <f>'Datos Actividad'!$U173*'FE Sectorial'!M176</f>
        <v>0</v>
      </c>
      <c r="M177" s="92">
        <f>'Datos Actividad'!$U173*'FE Sectorial'!N176</f>
        <v>0</v>
      </c>
      <c r="N177" s="92">
        <f>'Datos Actividad'!$U173*'FE Sectorial'!O176</f>
        <v>0</v>
      </c>
      <c r="O177" s="87">
        <f>IF(D177&lt;400,H177+I177*'Factores generales'!$M$41+J177*'Factores generales'!$N$41,I177*'Factores generales'!$M$41+J177*'Factores generales'!$N$41)</f>
        <v>11811.445259122964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Actividad'!$U174*'FE Sectorial'!I177</f>
        <v>12.447220001666937</v>
      </c>
      <c r="I178" s="92">
        <f>'Datos Actividad'!$U174*'FE Sectorial'!J177</f>
        <v>137.17344491632952</v>
      </c>
      <c r="J178" s="92">
        <f>'Datos Actividad'!$U174*'FE Sectorial'!K177</f>
        <v>0</v>
      </c>
      <c r="K178" s="92">
        <f>'Datos Actividad'!$U174*'FE Sectorial'!L177</f>
        <v>0</v>
      </c>
      <c r="L178" s="92">
        <f>'Datos Actividad'!$U174*'FE Sectorial'!M177</f>
        <v>0</v>
      </c>
      <c r="M178" s="92">
        <f>'Datos Actividad'!$U174*'FE Sectorial'!N177</f>
        <v>1371.7344491632953</v>
      </c>
      <c r="N178" s="92">
        <f>'Datos Actividad'!$U174*'FE Sectorial'!O177</f>
        <v>0</v>
      </c>
      <c r="O178" s="87">
        <f>IF(D178&lt;400,H178+I178*'Factores generales'!$M$41+J178*'Factores generales'!$N$41,I178*'Factores generales'!$M$41+J178*'Factores generales'!$N$41)</f>
        <v>2893.0895632445868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Actividad'!$U177*'FE Sectorial'!I180</f>
        <v>0</v>
      </c>
      <c r="I181" s="92">
        <f>'Datos Actividad'!$U177*'FE Sectorial'!J180</f>
        <v>285.61439536636613</v>
      </c>
      <c r="J181" s="92">
        <f>'Datos Actividad'!$U177*'FE Sectorial'!K180</f>
        <v>0</v>
      </c>
      <c r="K181" s="92">
        <f>'Datos Actividad'!$U177*'FE Sectorial'!L180</f>
        <v>1383.15705</v>
      </c>
      <c r="L181" s="92">
        <f>'Datos Actividad'!$U177*'FE Sectorial'!M180</f>
        <v>2213.0512800000001</v>
      </c>
      <c r="M181" s="92">
        <f>'Datos Actividad'!$U177*'FE Sectorial'!N180</f>
        <v>35962.083299999998</v>
      </c>
      <c r="N181" s="92">
        <f>'Datos Actividad'!$U177*'FE Sectorial'!O180</f>
        <v>22130.5128</v>
      </c>
      <c r="O181" s="87">
        <f>IF(D181&lt;400,H181+I181*'Factores generales'!$M$41+J181*'Factores generales'!$N$41,I181*'Factores generales'!$M$41+J181*'Factores generales'!$N$41)</f>
        <v>5997.9023026936884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Actividad'!$U179*'FE Sectorial'!I182</f>
        <v>0</v>
      </c>
      <c r="I183" s="92">
        <f>'Datos Actividad'!$U179*'FE Sectorial'!J182</f>
        <v>74.67698926034015</v>
      </c>
      <c r="J183" s="92">
        <f>'Datos Actividad'!$U179*'FE Sectorial'!K182</f>
        <v>0</v>
      </c>
      <c r="K183" s="92">
        <f>'Datos Actividad'!$U179*'FE Sectorial'!L182</f>
        <v>0</v>
      </c>
      <c r="L183" s="92">
        <f>'Datos Actividad'!$U179*'FE Sectorial'!M182</f>
        <v>0</v>
      </c>
      <c r="M183" s="92">
        <f>'Datos Actividad'!$U179*'FE Sectorial'!N182</f>
        <v>0</v>
      </c>
      <c r="N183" s="92">
        <f>'Datos Actividad'!$U179*'FE Sectorial'!O182</f>
        <v>0</v>
      </c>
      <c r="O183" s="87">
        <f>IF(D183&lt;400,H183+I183*'Factores generales'!$M$41+J183*'Factores generales'!$N$41,I183*'Factores generales'!$M$41+J183*'Factores generales'!$N$41)</f>
        <v>1568.2167744671431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Actividad'!$U181*'FE Sectorial'!I184</f>
        <v>0</v>
      </c>
      <c r="I185" s="92">
        <f>'Datos Actividad'!$U181*'FE Sectorial'!J184</f>
        <v>0</v>
      </c>
      <c r="J185" s="92">
        <f>'Datos Actividad'!$U181*'FE Sectorial'!K184</f>
        <v>0</v>
      </c>
      <c r="K185" s="92">
        <f>'Datos Actividad'!$U181*'FE Sectorial'!L184</f>
        <v>0</v>
      </c>
      <c r="L185" s="92">
        <f>'Datos Actividad'!$U181*'FE Sectorial'!M184</f>
        <v>0</v>
      </c>
      <c r="M185" s="92">
        <f>'Datos Actividad'!$U181*'FE Sectorial'!N184</f>
        <v>16453.259272404612</v>
      </c>
      <c r="N185" s="92">
        <f>'Datos Actividad'!$U181*'FE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Actividad'!$U182*'FE Sectorial'!I185</f>
        <v>1053.043136654677</v>
      </c>
      <c r="I186" s="92">
        <f>'Datos Actividad'!$U182*'FE Sectorial'!J185</f>
        <v>0</v>
      </c>
      <c r="J186" s="92">
        <f>'Datos Actividad'!$U182*'FE Sectorial'!K185</f>
        <v>0</v>
      </c>
      <c r="K186" s="92">
        <f>'Datos Actividad'!$U182*'FE Sectorial'!L185</f>
        <v>5.387662559628581E-3</v>
      </c>
      <c r="L186" s="92">
        <f>'Datos Actividad'!$U182*'FE Sectorial'!M185</f>
        <v>0</v>
      </c>
      <c r="M186" s="92">
        <f>'Datos Actividad'!$U182*'FE Sectorial'!N185</f>
        <v>0</v>
      </c>
      <c r="N186" s="92">
        <f>'Datos Actividad'!$U182*'FE Sectorial'!O185</f>
        <v>0</v>
      </c>
      <c r="O186" s="87">
        <f>IF(D186&lt;400,H186+I186*'Factores generales'!$M$41+J186*'Factores generales'!$N$41,I186*'Factores generales'!$M$41+J186*'Factores generales'!$N$41)</f>
        <v>1053.043136654677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4300.4937128674301</v>
      </c>
      <c r="I188" s="134">
        <f t="shared" ref="I188:O188" si="46">SUM(I189:I203)</f>
        <v>220791.64715854268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19616.498510612964</v>
      </c>
      <c r="N188" s="134">
        <f t="shared" si="46"/>
        <v>0</v>
      </c>
      <c r="O188" s="134">
        <f t="shared" si="46"/>
        <v>4640925.0840422632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Actividad'!$U187*'FE Sectorial'!I190</f>
        <v>1739.4026151681201</v>
      </c>
      <c r="I191" s="92">
        <f>'Datos Actividad'!$U187*'FE Sectorial'!J190</f>
        <v>104639.888320368</v>
      </c>
      <c r="J191" s="92">
        <f>'Datos Actividad'!$U187*'FE Sectorial'!K190</f>
        <v>0</v>
      </c>
      <c r="K191" s="92">
        <f>'Datos Actividad'!$U187*'FE Sectorial'!L190</f>
        <v>0</v>
      </c>
      <c r="L191" s="92">
        <f>'Datos Actividad'!$U187*'FE Sectorial'!M190</f>
        <v>0</v>
      </c>
      <c r="M191" s="92">
        <f>'Datos Actividad'!$U187*'FE Sectorial'!N190</f>
        <v>11450.149773328738</v>
      </c>
      <c r="N191" s="92">
        <f>'Datos Actividad'!$U187*'FE Sectorial'!O190</f>
        <v>0</v>
      </c>
      <c r="O191" s="87">
        <f>IF(D191&lt;400,H191+I191*'Factores generales'!$M$41+J191*'Factores generales'!$N$41,I191*'Factores generales'!$M$41+J191*'Factores generales'!$N$41)</f>
        <v>2199177.0573428962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Actividad'!$U189*'FE Sectorial'!I192</f>
        <v>635.14003260737127</v>
      </c>
      <c r="I193" s="92">
        <f>'Datos Actividad'!$U189*'FE Sectorial'!J192</f>
        <v>7939.2504075921424</v>
      </c>
      <c r="J193" s="92">
        <f>'Datos Actividad'!$U189*'FE Sectorial'!K192</f>
        <v>0</v>
      </c>
      <c r="K193" s="92">
        <f>'Datos Actividad'!$U189*'FE Sectorial'!L192</f>
        <v>0</v>
      </c>
      <c r="L193" s="92">
        <f>'Datos Actividad'!$U189*'FE Sectorial'!M192</f>
        <v>0</v>
      </c>
      <c r="M193" s="92">
        <f>'Datos Actividad'!$U189*'FE Sectorial'!N192</f>
        <v>7333.965375979471</v>
      </c>
      <c r="N193" s="92">
        <f>'Datos Actividad'!$U189*'FE Sectorial'!O192</f>
        <v>0</v>
      </c>
      <c r="O193" s="87">
        <f>IF(D193&lt;400,H193+I193*'Factores generales'!$M$41+J193*'Factores generales'!$N$41,I193*'Factores generales'!$M$41+J193*'Factores generales'!$N$41)</f>
        <v>167359.39859204236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Actividad'!$U192*'FE Sectorial'!I195</f>
        <v>39.872681882444283</v>
      </c>
      <c r="I196" s="92">
        <f>'Datos Actividad'!$U192*'FE Sectorial'!J195</f>
        <v>12406.084191770327</v>
      </c>
      <c r="J196" s="92">
        <f>'Datos Actividad'!$U192*'FE Sectorial'!K195</f>
        <v>0</v>
      </c>
      <c r="K196" s="92">
        <f>'Datos Actividad'!$U192*'FE Sectorial'!L195</f>
        <v>0</v>
      </c>
      <c r="L196" s="92">
        <f>'Datos Actividad'!$U192*'FE Sectorial'!M195</f>
        <v>0</v>
      </c>
      <c r="M196" s="92">
        <f>'Datos Actividad'!$U192*'FE Sectorial'!N195</f>
        <v>296.6830813047568</v>
      </c>
      <c r="N196" s="92">
        <f>'Datos Actividad'!$U192*'FE Sectorial'!O195</f>
        <v>0</v>
      </c>
      <c r="O196" s="87">
        <f>IF(D196&lt;400,H196+I196*'Factores generales'!$M$41+J196*'Factores generales'!$N$41,I196*'Factores generales'!$M$41+J196*'Factores generales'!$N$41)</f>
        <v>260567.64070905931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Actividad'!$U194*'FE Sectorial'!I197</f>
        <v>1886.0783832094939</v>
      </c>
      <c r="I198" s="92">
        <f>'Datos Actividad'!$U194*'FE Sectorial'!J197</f>
        <v>37014.933934340195</v>
      </c>
      <c r="J198" s="92">
        <f>'Datos Actividad'!$U194*'FE Sectorial'!K197</f>
        <v>0</v>
      </c>
      <c r="K198" s="92">
        <f>'Datos Actividad'!$U194*'FE Sectorial'!L197</f>
        <v>0</v>
      </c>
      <c r="L198" s="92">
        <f>'Datos Actividad'!$U194*'FE Sectorial'!M197</f>
        <v>0</v>
      </c>
      <c r="M198" s="92">
        <f>'Datos Actividad'!$U194*'FE Sectorial'!N197</f>
        <v>535.70028000000013</v>
      </c>
      <c r="N198" s="92">
        <f>'Datos Actividad'!$U194*'FE Sectorial'!O197</f>
        <v>0</v>
      </c>
      <c r="O198" s="87">
        <f>IF(D198&lt;400,H198+I198*'Factores generales'!$M$41+J198*'Factores generales'!$N$41,I198*'Factores generales'!$M$41+J198*'Factores generales'!$N$41)</f>
        <v>779199.69100435369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Actividad'!$U197*'FE Sectorial'!I200</f>
        <v>0</v>
      </c>
      <c r="I201" s="92">
        <f>'Datos Actividad'!$U197*'FE Sectorial'!J200</f>
        <v>47926.182830400001</v>
      </c>
      <c r="J201" s="92">
        <f>'Datos Actividad'!$U197*'FE Sectorial'!K200</f>
        <v>0</v>
      </c>
      <c r="K201" s="92">
        <f>'Datos Actividad'!$U197*'FE Sectorial'!L200</f>
        <v>0</v>
      </c>
      <c r="L201" s="92">
        <f>'Datos Actividad'!$U197*'FE Sectorial'!M200</f>
        <v>0</v>
      </c>
      <c r="M201" s="92">
        <f>'Datos Actividad'!$U197*'FE Sectorial'!N200</f>
        <v>0</v>
      </c>
      <c r="N201" s="92">
        <f>'Datos Actividad'!$U197*'FE Sectorial'!O200</f>
        <v>0</v>
      </c>
      <c r="O201" s="87">
        <f>IF(D201&lt;400,H201+I201*'Factores generales'!$M$41+J201*'Factores generales'!$N$41,I201*'Factores generales'!$M$41+J201*'Factores generales'!$N$41)</f>
        <v>1006449.8394384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Actividad'!$U199*'FE Sectorial'!I202</f>
        <v>0</v>
      </c>
      <c r="I203" s="92">
        <f>'Datos Actividad'!$U199*'FE Sectorial'!J202</f>
        <v>10865.307474071999</v>
      </c>
      <c r="J203" s="92">
        <f>'Datos Actividad'!$U199*'FE Sectorial'!K202</f>
        <v>0</v>
      </c>
      <c r="K203" s="92">
        <f>'Datos Actividad'!$U199*'FE Sectorial'!L202</f>
        <v>0</v>
      </c>
      <c r="L203" s="92">
        <f>'Datos Actividad'!$U199*'FE Sectorial'!M202</f>
        <v>0</v>
      </c>
      <c r="M203" s="92">
        <f>'Datos Actividad'!$U199*'FE Sectorial'!N202</f>
        <v>0</v>
      </c>
      <c r="N203" s="92">
        <f>'Datos Actividad'!$U199*'FE Sectorial'!O202</f>
        <v>0</v>
      </c>
      <c r="O203" s="87">
        <f>IF(D203&lt;400,H203+I203*'Factores generales'!$M$41+J203*'Factores generales'!$N$41,I203*'Factores generales'!$M$41+J203*'Factores generales'!$N$41)</f>
        <v>228171.45695551197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4494217.5320433239</v>
      </c>
      <c r="I204" s="134">
        <f t="shared" ref="I204:O204" si="47">SUM(I205:I221)</f>
        <v>44724.148246326396</v>
      </c>
      <c r="J204" s="134">
        <f t="shared" si="47"/>
        <v>36.388799874655348</v>
      </c>
      <c r="K204" s="134">
        <f t="shared" si="47"/>
        <v>0</v>
      </c>
      <c r="L204" s="134">
        <f t="shared" si="47"/>
        <v>0</v>
      </c>
      <c r="M204" s="134">
        <f t="shared" si="47"/>
        <v>24357.139378125212</v>
      </c>
      <c r="N204" s="134">
        <f t="shared" si="47"/>
        <v>0</v>
      </c>
      <c r="O204" s="134">
        <f t="shared" si="47"/>
        <v>5444705.1731773214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Actividad'!$U203*'FE Sectorial'!I206</f>
        <v>5064.1757359638304</v>
      </c>
      <c r="I207" s="92">
        <f>'Datos Actividad'!$U203*'FE Sectorial'!J206</f>
        <v>38473.27305185271</v>
      </c>
      <c r="J207" s="92">
        <f>'Datos Actividad'!$U203*'FE Sectorial'!K206</f>
        <v>0</v>
      </c>
      <c r="K207" s="92">
        <f>'Datos Actividad'!$U203*'FE Sectorial'!L206</f>
        <v>0</v>
      </c>
      <c r="L207" s="92">
        <f>'Datos Actividad'!$U203*'FE Sectorial'!M206</f>
        <v>0</v>
      </c>
      <c r="M207" s="92">
        <f>'Datos Actividad'!$U203*'FE Sectorial'!N206</f>
        <v>22952.792094549233</v>
      </c>
      <c r="N207" s="92">
        <f>'Datos Actividad'!$U203*'FE Sectorial'!O206</f>
        <v>0</v>
      </c>
      <c r="O207" s="87">
        <f>IF(D207&lt;400,H207+I207*'Factores generales'!$M$41+J207*'Factores generales'!$N$41,I207*'Factores generales'!$M$41+J207*'Factores generales'!$N$41)</f>
        <v>813002.90982487076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Actividad'!$U205*'FE Sectorial'!I208</f>
        <v>2183540.3972686883</v>
      </c>
      <c r="I209" s="92">
        <f>'Datos Actividad'!$U205*'FE Sectorial'!J208</f>
        <v>1328.5709500790745</v>
      </c>
      <c r="J209" s="92">
        <f>'Datos Actividad'!$U205*'FE Sectorial'!K208</f>
        <v>34.198464934980187</v>
      </c>
      <c r="K209" s="92">
        <f>'Datos Actividad'!$U205*'FE Sectorial'!L208</f>
        <v>0</v>
      </c>
      <c r="L209" s="92">
        <f>'Datos Actividad'!$U205*'FE Sectorial'!M208</f>
        <v>0</v>
      </c>
      <c r="M209" s="92">
        <f>'Datos Actividad'!$U205*'FE Sectorial'!N208</f>
        <v>1124.5633759563309</v>
      </c>
      <c r="N209" s="92">
        <f>'Datos Actividad'!$U205*'FE Sectorial'!O208</f>
        <v>0</v>
      </c>
      <c r="O209" s="87">
        <f>IF(D209&lt;400,H209+I209*'Factores generales'!$M$41+J209*'Factores generales'!$N$41,I209*'Factores generales'!$M$41+J209*'Factores generales'!$N$41)</f>
        <v>2222041.9113501925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Actividad'!$U209*'FE Sectorial'!I212</f>
        <v>2135952.7760559893</v>
      </c>
      <c r="I213" s="92">
        <f>'Datos Actividad'!$U209*'FE Sectorial'!J212</f>
        <v>0</v>
      </c>
      <c r="J213" s="92">
        <f>'Datos Actividad'!$U209*'FE Sectorial'!K212</f>
        <v>0</v>
      </c>
      <c r="K213" s="92">
        <f>'Datos Actividad'!$U209*'FE Sectorial'!L212</f>
        <v>0</v>
      </c>
      <c r="L213" s="92">
        <f>'Datos Actividad'!$U209*'FE Sectorial'!M212</f>
        <v>0</v>
      </c>
      <c r="M213" s="92">
        <f>'Datos Actividad'!$U209*'FE Sectorial'!N212</f>
        <v>0</v>
      </c>
      <c r="N213" s="92">
        <f>'Datos Actividad'!$U209*'FE Sectorial'!O212</f>
        <v>0</v>
      </c>
      <c r="O213" s="87">
        <f>IF(D213&lt;400,H213+I213*'Factores generales'!$M$41+J213*'Factores generales'!$N$41,I213*'Factores generales'!$M$41+J213*'Factores generales'!$N$41)</f>
        <v>2135952.7760559893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Actividad'!$U211*'FE Sectorial'!I214</f>
        <v>126.81022762075511</v>
      </c>
      <c r="I215" s="92">
        <f>'Datos Actividad'!$U211*'FE Sectorial'!J214</f>
        <v>4810.101084923137</v>
      </c>
      <c r="J215" s="92">
        <f>'Datos Actividad'!$U211*'FE Sectorial'!K214</f>
        <v>0</v>
      </c>
      <c r="K215" s="92">
        <f>'Datos Actividad'!$U211*'FE Sectorial'!L214</f>
        <v>0</v>
      </c>
      <c r="L215" s="92">
        <f>'Datos Actividad'!$U211*'FE Sectorial'!M214</f>
        <v>0</v>
      </c>
      <c r="M215" s="92">
        <f>'Datos Actividad'!$U211*'FE Sectorial'!N214</f>
        <v>189.62136281411034</v>
      </c>
      <c r="N215" s="92">
        <f>'Datos Actividad'!$U211*'FE Sectorial'!O214</f>
        <v>0</v>
      </c>
      <c r="O215" s="87">
        <f>IF(D215&lt;400,H215+I215*'Factores generales'!$M$41+J215*'Factores generales'!$N$41,I215*'Factores generales'!$M$41+J215*'Factores generales'!$N$41)</f>
        <v>101138.93301100662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Actividad'!$U214*'FE Sectorial'!I217</f>
        <v>48012.073542301703</v>
      </c>
      <c r="I218" s="92">
        <f>'Datos Actividad'!$U214*'FE Sectorial'!J217</f>
        <v>30.206933844868423</v>
      </c>
      <c r="J218" s="92">
        <f>'Datos Actividad'!$U214*'FE Sectorial'!K217</f>
        <v>0.85508343779986951</v>
      </c>
      <c r="K218" s="92">
        <f>'Datos Actividad'!$U214*'FE Sectorial'!L217</f>
        <v>0</v>
      </c>
      <c r="L218" s="92">
        <f>'Datos Actividad'!$U214*'FE Sectorial'!M217</f>
        <v>0</v>
      </c>
      <c r="M218" s="92">
        <f>'Datos Actividad'!$U214*'FE Sectorial'!N217</f>
        <v>25.153889914893767</v>
      </c>
      <c r="N218" s="92">
        <f>'Datos Actividad'!$U214*'FE Sectorial'!O217</f>
        <v>0</v>
      </c>
      <c r="O218" s="87">
        <f>IF(D218&lt;400,H218+I218*'Factores generales'!$M$41+J218*'Factores generales'!$N$41,I218*'Factores generales'!$M$41+J218*'Factores generales'!$N$41)</f>
        <v>48911.495018761903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Actividad'!$U216*'FE Sectorial'!I219</f>
        <v>121521.29921276074</v>
      </c>
      <c r="I220" s="92">
        <f>'Datos Actividad'!$U216*'FE Sectorial'!J219</f>
        <v>81.996225626599497</v>
      </c>
      <c r="J220" s="92">
        <f>'Datos Actividad'!$U216*'FE Sectorial'!K219</f>
        <v>1.3352515018752884</v>
      </c>
      <c r="K220" s="92">
        <f>'Datos Actividad'!$U216*'FE Sectorial'!L219</f>
        <v>0</v>
      </c>
      <c r="L220" s="92">
        <f>'Datos Actividad'!$U216*'FE Sectorial'!M219</f>
        <v>0</v>
      </c>
      <c r="M220" s="92">
        <f>'Datos Actividad'!$U216*'FE Sectorial'!N219</f>
        <v>65.008654890644181</v>
      </c>
      <c r="N220" s="92">
        <f>'Datos Actividad'!$U216*'FE Sectorial'!O219</f>
        <v>0</v>
      </c>
      <c r="O220" s="87">
        <f>IF(D220&lt;400,H220+I220*'Factores generales'!$M$41+J220*'Factores generales'!$N$41,I220*'Factores generales'!$M$41+J220*'Factores generales'!$N$41)</f>
        <v>123657.14791650067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9244482.443537347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3773640.4747706177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2110231.1214960879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1663409.3532745298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113366056.70113933</v>
      </c>
      <c r="I5" s="138">
        <f t="shared" si="0"/>
        <v>273917.49610377627</v>
      </c>
      <c r="J5" s="138">
        <f t="shared" si="0"/>
        <v>3696.247803626447</v>
      </c>
      <c r="K5" s="138">
        <f t="shared" si="0"/>
        <v>668432.5208033371</v>
      </c>
      <c r="L5" s="138">
        <f t="shared" si="0"/>
        <v>2582757.1347943856</v>
      </c>
      <c r="M5" s="138">
        <f t="shared" si="0"/>
        <v>522806.44552135031</v>
      </c>
      <c r="N5" s="138">
        <f t="shared" si="0"/>
        <v>75850.050162819534</v>
      </c>
      <c r="O5" s="138">
        <f t="shared" si="0"/>
        <v>120403085.60949546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109274051.0479714</v>
      </c>
      <c r="I6" s="124">
        <f t="shared" si="1"/>
        <v>15836.089680856097</v>
      </c>
      <c r="J6" s="124">
        <f t="shared" si="1"/>
        <v>3662.5881986253189</v>
      </c>
      <c r="K6" s="124">
        <f t="shared" si="1"/>
        <v>667115.95896027214</v>
      </c>
      <c r="L6" s="124">
        <f t="shared" si="1"/>
        <v>2580650.6443143855</v>
      </c>
      <c r="M6" s="124">
        <f t="shared" si="1"/>
        <v>415858.71261560626</v>
      </c>
      <c r="N6" s="124">
        <f t="shared" si="1"/>
        <v>54785.14536281953</v>
      </c>
      <c r="O6" s="124">
        <f t="shared" si="1"/>
        <v>110880935.94389585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26706763.569603071</v>
      </c>
      <c r="I7" s="129">
        <f t="shared" si="2"/>
        <v>554.42226403583913</v>
      </c>
      <c r="J7" s="129">
        <f t="shared" si="2"/>
        <v>107.49041374754677</v>
      </c>
      <c r="K7" s="129">
        <f t="shared" si="2"/>
        <v>72718.980842775243</v>
      </c>
      <c r="L7" s="129">
        <f t="shared" si="2"/>
        <v>8533.2051120697215</v>
      </c>
      <c r="M7" s="129">
        <f t="shared" si="2"/>
        <v>2204.28017159096</v>
      </c>
      <c r="N7" s="129">
        <f t="shared" si="2"/>
        <v>29255.519883529421</v>
      </c>
      <c r="O7" s="129">
        <f t="shared" si="2"/>
        <v>26751728.465409562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17833269.897864431</v>
      </c>
      <c r="I8" s="134">
        <f t="shared" si="3"/>
        <v>354.17457657600005</v>
      </c>
      <c r="J8" s="134">
        <f t="shared" si="3"/>
        <v>69.59008475760001</v>
      </c>
      <c r="K8" s="134">
        <f t="shared" si="3"/>
        <v>48766.100646400009</v>
      </c>
      <c r="L8" s="134">
        <f t="shared" si="3"/>
        <v>5804.1228205199996</v>
      </c>
      <c r="M8" s="134">
        <f t="shared" si="3"/>
        <v>1486.56872488</v>
      </c>
      <c r="N8" s="134">
        <f t="shared" si="3"/>
        <v>21687.781060000008</v>
      </c>
      <c r="O8" s="134">
        <f t="shared" si="3"/>
        <v>17862280.490247384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17833269.897864431</v>
      </c>
      <c r="I9" s="93">
        <f t="shared" ref="I9:O9" si="4">I10+I11+I12+I13+I14</f>
        <v>354.17457657600005</v>
      </c>
      <c r="J9" s="93">
        <f t="shared" si="4"/>
        <v>69.59008475760001</v>
      </c>
      <c r="K9" s="93">
        <f t="shared" si="4"/>
        <v>48766.100646400009</v>
      </c>
      <c r="L9" s="93">
        <f t="shared" si="4"/>
        <v>5804.1228205199996</v>
      </c>
      <c r="M9" s="93">
        <f t="shared" si="4"/>
        <v>1486.56872488</v>
      </c>
      <c r="N9" s="93">
        <f t="shared" si="4"/>
        <v>21687.781060000008</v>
      </c>
      <c r="O9" s="93">
        <f t="shared" si="4"/>
        <v>17862280.490247384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Actividad'!$V6*'FE Sectorial'!$H9*'FE Sectorial'!I9*'FE Sectorial'!$P9/1000</f>
        <v>1698112.7262792001</v>
      </c>
      <c r="I10" s="92">
        <f>'Datos Actividad'!$V6*'FE Sectorial'!$H9*'FE Sectorial'!J9/1000/1000</f>
        <v>18.316787400000003</v>
      </c>
      <c r="J10" s="92">
        <f>'Datos Actividad'!$V6*'FE Sectorial'!$H9*'FE Sectorial'!K9/1000/1000</f>
        <v>27.475181100000007</v>
      </c>
      <c r="K10" s="92">
        <f>'Datos Actividad'!$V6*'FE Sectorial'!$H9*'FE Sectorial'!L9/1000/1000</f>
        <v>5495.0362200000009</v>
      </c>
      <c r="L10" s="92">
        <f>'Datos Actividad'!$V6*'FE Sectorial'!$H9*'FE Sectorial'!M9/1000/1000</f>
        <v>366.33574800000008</v>
      </c>
      <c r="M10" s="92">
        <f>'Datos Actividad'!$V6*'FE Sectorial'!$H9*'FE Sectorial'!N9/1000/1000</f>
        <v>91.58393700000002</v>
      </c>
      <c r="N10" s="92">
        <f>'Datos Actividad'!$V6*'FE Sectorial'!$H9*'FE Sectorial'!O9/1000/1000</f>
        <v>17535.839100000005</v>
      </c>
      <c r="O10" s="92">
        <f>IF(D10&lt;400,H10+I10*'Factores generales'!$M$41+J10*'Factores generales'!$N$41,I10*'Factores generales'!$M$41+J10*'Factores generales'!$N$41)</f>
        <v>1707014.6849556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Actividad'!$V7*'FE Sectorial'!$H10*'FE Sectorial'!I10*'FE Sectorial'!$P10/1000</f>
        <v>670289.47256699996</v>
      </c>
      <c r="I11" s="17">
        <f>'Datos Actividad'!$V7*'FE Sectorial'!$H10*'FE Sectorial'!J10/1000/1000</f>
        <v>27.411339000000002</v>
      </c>
      <c r="J11" s="17">
        <f>'Datos Actividad'!$V7*'FE Sectorial'!$H10*'FE Sectorial'!K10/1000/1000</f>
        <v>5.4822677999999998</v>
      </c>
      <c r="K11" s="17">
        <f>'Datos Actividad'!$V7*'FE Sectorial'!$H10*'FE Sectorial'!L10/1000/1000</f>
        <v>1827.4226000000001</v>
      </c>
      <c r="L11" s="17">
        <f>'Datos Actividad'!$V7*'FE Sectorial'!$H10*'FE Sectorial'!M10/1000/1000</f>
        <v>137.05669500000002</v>
      </c>
      <c r="M11" s="17">
        <f>'Datos Actividad'!$V7*'FE Sectorial'!$H10*'FE Sectorial'!N10/1000/1000</f>
        <v>45.685565000000004</v>
      </c>
      <c r="N11" s="17">
        <f>'Datos Actividad'!$V7*'FE Sectorial'!$H10*'FE Sectorial'!O10/1000/1000</f>
        <v>331.48596000000003</v>
      </c>
      <c r="O11" s="17">
        <f>IF(D11&lt;400,H11+I11*'Factores generales'!$M$41+J11*'Factores generales'!$N$41,I11*'Factores generales'!$M$41+J11*'Factores generales'!$N$41)</f>
        <v>672564.61370400002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Actividad'!$V8*'FE Sectorial'!$H11*'FE Sectorial'!I11*'FE Sectorial'!$P11/1000</f>
        <v>1478368.6203528005</v>
      </c>
      <c r="I12" s="92">
        <f>'Datos Actividad'!$V8*'FE Sectorial'!$H11*'FE Sectorial'!J11/1000/1000</f>
        <v>57.879908400000005</v>
      </c>
      <c r="J12" s="92">
        <f>'Datos Actividad'!$V8*'FE Sectorial'!$H11*'FE Sectorial'!K11/1000/1000</f>
        <v>11.575981679999998</v>
      </c>
      <c r="K12" s="92">
        <f>'Datos Actividad'!$V8*'FE Sectorial'!$H11*'FE Sectorial'!L11/1000/1000</f>
        <v>3858.6605600000003</v>
      </c>
      <c r="L12" s="92">
        <f>'Datos Actividad'!$V8*'FE Sectorial'!$H11*'FE Sectorial'!M11/1000/1000</f>
        <v>289.399542</v>
      </c>
      <c r="M12" s="92">
        <f>'Datos Actividad'!$V8*'FE Sectorial'!$H11*'FE Sectorial'!N11/1000/1000</f>
        <v>96.466513999999989</v>
      </c>
      <c r="N12" s="92">
        <f>'Datos Actividad'!$V8*'FE Sectorial'!$H11*'FE Sectorial'!O11/1000/1000</f>
        <v>3820.4560000000006</v>
      </c>
      <c r="O12" s="92">
        <f>IF(D12&lt;400,H12+I12*'Factores generales'!$M$41+J12*'Factores generales'!$N$41,I12*'Factores generales'!$M$41+J12*'Factores generales'!$N$41)</f>
        <v>1483172.6527500004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Actividad'!$V9*'FE Sectorial'!$H12*'FE Sectorial'!I12*'FE Sectorial'!$P12/1000</f>
        <v>13986499.078665432</v>
      </c>
      <c r="I13" s="17">
        <f>'Datos Actividad'!$V9*'FE Sectorial'!$H12*'FE Sectorial'!J12/1000/1000</f>
        <v>250.56654177600001</v>
      </c>
      <c r="J13" s="17">
        <f>'Datos Actividad'!$V9*'FE Sectorial'!$H12*'FE Sectorial'!K12/1000/1000</f>
        <v>25.056654177600002</v>
      </c>
      <c r="K13" s="17">
        <f>'Datos Actividad'!$V9*'FE Sectorial'!$H12*'FE Sectorial'!L12/1000/1000</f>
        <v>37584.981266400006</v>
      </c>
      <c r="L13" s="17">
        <f>'Datos Actividad'!$V9*'FE Sectorial'!$H12*'FE Sectorial'!M12/1000/1000</f>
        <v>5011.3308355199997</v>
      </c>
      <c r="M13" s="17">
        <f>'Datos Actividad'!$V9*'FE Sectorial'!$H12*'FE Sectorial'!N12/1000/1000</f>
        <v>1252.8327088799999</v>
      </c>
      <c r="N13" s="17">
        <f>'Datos Actividad'!$V9*'FE Sectorial'!$H12*'FE Sectorial'!O12/1000/1000</f>
        <v>0</v>
      </c>
      <c r="O13" s="17">
        <f>IF(D13&lt;400,H13+I13*'Factores generales'!$M$41+J13*'Factores generales'!$N$41,I13*'Factores generales'!$M$41+J13*'Factores generales'!$N$41)</f>
        <v>13999528.538837783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Actividad'!$V10*'FE Sectorial'!$H13*'FE Sectorial'!I13*'FE Sectorial'!$P13/1000</f>
        <v>0</v>
      </c>
      <c r="I14" s="147">
        <f>'Datos Actividad'!$V10*'FE Sectorial'!$H13*'FE Sectorial'!J13/1000/1000</f>
        <v>0</v>
      </c>
      <c r="J14" s="147">
        <f>'Datos Actividad'!$V10*'FE Sectorial'!$H13*'FE Sectorial'!K13/1000/1000</f>
        <v>0</v>
      </c>
      <c r="K14" s="147">
        <f>'Datos Actividad'!$V10*'FE Sectorial'!$H13*'FE Sectorial'!L13/1000/1000</f>
        <v>0</v>
      </c>
      <c r="L14" s="147">
        <f>'Datos Actividad'!$V10*'FE Sectorial'!$H13*'FE Sectorial'!M13/1000/1000</f>
        <v>0</v>
      </c>
      <c r="M14" s="147">
        <f>'Datos Actividad'!$V10*'FE Sectorial'!$H13*'FE Sectorial'!N13/1000/1000</f>
        <v>0</v>
      </c>
      <c r="N14" s="147">
        <f>'Datos Actividad'!$V10*'FE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5004525.3249962404</v>
      </c>
      <c r="I17" s="134">
        <f t="shared" ref="I17:O17" si="5">SUM(I18:I25)</f>
        <v>130.562624259839</v>
      </c>
      <c r="J17" s="134">
        <f t="shared" si="5"/>
        <v>27.266152669946749</v>
      </c>
      <c r="K17" s="134">
        <f t="shared" si="5"/>
        <v>13429.605716375234</v>
      </c>
      <c r="L17" s="134">
        <f t="shared" si="5"/>
        <v>1386.7755275497216</v>
      </c>
      <c r="M17" s="134">
        <f t="shared" si="5"/>
        <v>380.70713071095975</v>
      </c>
      <c r="N17" s="134">
        <f t="shared" si="5"/>
        <v>4593.3388235294115</v>
      </c>
      <c r="O17" s="134">
        <f t="shared" si="5"/>
        <v>5015719.6474333797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Actividad'!$V14*'FE Sectorial'!$H17*'FE Sectorial'!I17*'FE Sectorial'!P17/1000</f>
        <v>1269146.1536669522</v>
      </c>
      <c r="I18" s="17">
        <f>'Datos Actividad'!$V14*'FE Sectorial'!$H17*'FE Sectorial'!J17/1000/1000</f>
        <v>22.736609135999998</v>
      </c>
      <c r="J18" s="17">
        <f>'Datos Actividad'!$V14*'FE Sectorial'!$H17*'FE Sectorial'!K17/1000/1000</f>
        <v>2.2736609136000001</v>
      </c>
      <c r="K18" s="17">
        <f>'Datos Actividad'!$V14*'FE Sectorial'!$H17*'FE Sectorial'!L17/1000/1000</f>
        <v>3410.4913704000001</v>
      </c>
      <c r="L18" s="17">
        <f>'Datos Actividad'!$V14*'FE Sectorial'!$H17*'FE Sectorial'!M17/1000/1000</f>
        <v>454.73218272000003</v>
      </c>
      <c r="M18" s="17">
        <f>'Datos Actividad'!$V14*'FE Sectorial'!$H17*'FE Sectorial'!N17/1000/1000</f>
        <v>113.68304568000001</v>
      </c>
      <c r="N18" s="17">
        <f>'Datos Actividad'!$V14*'FE Sectorial'!$H17*'FE Sectorial'!O17/1000/1000</f>
        <v>0</v>
      </c>
      <c r="O18" s="87">
        <f>IF(D18&lt;400,H18+I18*'Factores generales'!$M$41+J18*'Factores generales'!$N$41,I18*'Factores generales'!$M$41+J18*'Factores generales'!$N$41)</f>
        <v>1270328.4573420242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Actividad'!$V15*'FE Sectorial'!$H18*'FE Sectorial'!I18*'FE Sectorial'!P18/1000</f>
        <v>0</v>
      </c>
      <c r="I19" s="17">
        <f>'Datos Actividad'!$V15*'FE Sectorial'!$H18*'FE Sectorial'!J18/1000/1000</f>
        <v>0</v>
      </c>
      <c r="J19" s="17">
        <f>'Datos Actividad'!$V15*'FE Sectorial'!$H18*'FE Sectorial'!K18/1000/1000</f>
        <v>0</v>
      </c>
      <c r="K19" s="17">
        <f>'Datos Actividad'!$V15*'FE Sectorial'!$H18*'FE Sectorial'!L18/1000/1000</f>
        <v>0</v>
      </c>
      <c r="L19" s="17">
        <f>'Datos Actividad'!$V15*'FE Sectorial'!$H18*'FE Sectorial'!M18/1000/1000</f>
        <v>0</v>
      </c>
      <c r="M19" s="17">
        <f>'Datos Actividad'!$V15*'FE Sectorial'!$H18*'FE Sectorial'!N18/1000/1000</f>
        <v>0</v>
      </c>
      <c r="N19" s="17">
        <f>'Datos Actividad'!$V15*'FE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Actividad'!$V16*'FE Sectorial'!$H19*'FE Sectorial'!I19*'FE Sectorial'!P19/1000</f>
        <v>1253707.966368</v>
      </c>
      <c r="I20" s="17">
        <f>'Datos Actividad'!$V16*'FE Sectorial'!$H19*'FE Sectorial'!J19/1000/1000</f>
        <v>21.875139000000001</v>
      </c>
      <c r="J20" s="17">
        <f>'Datos Actividad'!$V16*'FE Sectorial'!$H19*'FE Sectorial'!K19/1000/1000</f>
        <v>2.1875138999999999</v>
      </c>
      <c r="K20" s="17">
        <f>'Datos Actividad'!$V16*'FE Sectorial'!$H19*'FE Sectorial'!L19/1000/1000</f>
        <v>3281.2708499999999</v>
      </c>
      <c r="L20" s="17">
        <f>'Datos Actividad'!$V16*'FE Sectorial'!$H19*'FE Sectorial'!M19/1000/1000</f>
        <v>437.50278000000003</v>
      </c>
      <c r="M20" s="17">
        <f>'Datos Actividad'!$V16*'FE Sectorial'!$H19*'FE Sectorial'!N19/1000/1000</f>
        <v>109.37569500000001</v>
      </c>
      <c r="N20" s="17">
        <f>'Datos Actividad'!$V16*'FE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1254845.4735960001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Actividad'!$V17*'FE Sectorial'!$H20*'FE Sectorial'!I20*'FE Sectorial'!P20/1000</f>
        <v>0</v>
      </c>
      <c r="I21" s="17">
        <f>'Datos Actividad'!$V17*'FE Sectorial'!$H20*'FE Sectorial'!J20/1000/1000</f>
        <v>0</v>
      </c>
      <c r="J21" s="17">
        <f>'Datos Actividad'!$V17*'FE Sectorial'!$H20*'FE Sectorial'!K20/1000/1000</f>
        <v>0</v>
      </c>
      <c r="K21" s="17">
        <f>'Datos Actividad'!$V17*'FE Sectorial'!$H20*'FE Sectorial'!L20/1000/1000</f>
        <v>0</v>
      </c>
      <c r="L21" s="17">
        <f>'Datos Actividad'!$V17*'FE Sectorial'!$H20*'FE Sectorial'!M20/1000/1000</f>
        <v>0</v>
      </c>
      <c r="M21" s="17">
        <f>'Datos Actividad'!$V17*'FE Sectorial'!$H20*'FE Sectorial'!N20/1000/1000</f>
        <v>0</v>
      </c>
      <c r="N21" s="17">
        <f>'Datos Actividad'!$V17*'FE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Actividad'!$V18*'FE Sectorial'!$H21*'FE Sectorial'!I21*'FE Sectorial'!P21/1000</f>
        <v>0</v>
      </c>
      <c r="I22" s="17">
        <f>'Datos Actividad'!$V18*'FE Sectorial'!$H21*'FE Sectorial'!J21/1000/1000</f>
        <v>0</v>
      </c>
      <c r="J22" s="17">
        <f>'Datos Actividad'!$V18*'FE Sectorial'!$H21*'FE Sectorial'!K21/1000/1000</f>
        <v>0</v>
      </c>
      <c r="K22" s="17">
        <f>'Datos Actividad'!$V18*'FE Sectorial'!$H21*'FE Sectorial'!L21/1000/1000</f>
        <v>0</v>
      </c>
      <c r="L22" s="17">
        <f>'Datos Actividad'!$V18*'FE Sectorial'!$H21*'FE Sectorial'!M21/1000/1000</f>
        <v>0</v>
      </c>
      <c r="M22" s="17">
        <f>'Datos Actividad'!$V18*'FE Sectorial'!$H21*'FE Sectorial'!N21/1000/1000</f>
        <v>0</v>
      </c>
      <c r="N22" s="17">
        <f>'Datos Actividad'!$V18*'FE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Actividad'!$V19*'FE Sectorial'!$H22*'FE Sectorial'!I22*'FE Sectorial'!P22/1000</f>
        <v>360533.59358823526</v>
      </c>
      <c r="I23" s="17">
        <f>'Datos Actividad'!$V19*'FE Sectorial'!$H22*'FE Sectorial'!J22/1000/1000</f>
        <v>14.743941176470589</v>
      </c>
      <c r="J23" s="17">
        <f>'Datos Actividad'!$V19*'FE Sectorial'!$H22*'FE Sectorial'!K22/1000/1000</f>
        <v>2.9487882352941175</v>
      </c>
      <c r="K23" s="17">
        <f>'Datos Actividad'!$V19*'FE Sectorial'!$H22*'FE Sectorial'!L22/1000/1000</f>
        <v>982.92941176470595</v>
      </c>
      <c r="L23" s="17">
        <f>'Datos Actividad'!$V19*'FE Sectorial'!$H22*'FE Sectorial'!M22/1000/1000</f>
        <v>73.719705882352955</v>
      </c>
      <c r="M23" s="17">
        <f>'Datos Actividad'!$V19*'FE Sectorial'!$H22*'FE Sectorial'!N22/1000/1000</f>
        <v>24.573235294117648</v>
      </c>
      <c r="N23" s="17">
        <f>'Datos Actividad'!$V19*'FE Sectorial'!$H22*'FE Sectorial'!O22/1000/1000</f>
        <v>178.29882352941178</v>
      </c>
      <c r="O23" s="87">
        <f>IF(D23&lt;400,H23+I23*'Factores generales'!$M$41+J23*'Factores generales'!$N$41,I23*'Factores generales'!$M$41+J23*'Factores generales'!$N$41)</f>
        <v>361757.34070588229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Actividad'!$V20*'FE Sectorial'!$H23*'FE Sectorial'!I23*'FE Sectorial'!P23/1000</f>
        <v>1708449.6179520001</v>
      </c>
      <c r="I24" s="17">
        <f>'Datos Actividad'!$V20*'FE Sectorial'!$H23*'FE Sectorial'!J23/1000/1000</f>
        <v>66.887855999999999</v>
      </c>
      <c r="J24" s="17">
        <f>'Datos Actividad'!$V20*'FE Sectorial'!$H23*'FE Sectorial'!K23/1000/1000</f>
        <v>13.377571199999998</v>
      </c>
      <c r="K24" s="17">
        <f>'Datos Actividad'!$V20*'FE Sectorial'!$H23*'FE Sectorial'!L23/1000/1000</f>
        <v>4459.1904000000004</v>
      </c>
      <c r="L24" s="17">
        <f>'Datos Actividad'!$V20*'FE Sectorial'!$H23*'FE Sectorial'!M23/1000/1000</f>
        <v>334.43928000000005</v>
      </c>
      <c r="M24" s="17">
        <f>'Datos Actividad'!$V20*'FE Sectorial'!$H23*'FE Sectorial'!N23/1000/1000</f>
        <v>111.47976</v>
      </c>
      <c r="N24" s="17">
        <f>'Datos Actividad'!$V20*'FE Sectorial'!$H23*'FE Sectorial'!O23/1000/1000</f>
        <v>4415.04</v>
      </c>
      <c r="O24" s="87">
        <f>IF(D24&lt;400,H24+I24*'Factores generales'!$M$41+J24*'Factores generales'!$N$41,I24*'Factores generales'!$M$41+J24*'Factores generales'!$N$41)</f>
        <v>1714001.3100000003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Actividad'!$V21*'FE Sectorial'!$H24*'FE Sectorial'!I24*'FE Sectorial'!P24/1000</f>
        <v>412687.99342105258</v>
      </c>
      <c r="I25" s="17">
        <f>'Datos Actividad'!$V21*'FE Sectorial'!$H24*'FE Sectorial'!J24/1000/1000</f>
        <v>4.3190789473684212</v>
      </c>
      <c r="J25" s="17">
        <f>'Datos Actividad'!$V21*'FE Sectorial'!$H24*'FE Sectorial'!K24/1000/1000</f>
        <v>6.4786184210526319</v>
      </c>
      <c r="K25" s="17">
        <f>'Datos Actividad'!$V21*'FE Sectorial'!$H24*'FE Sectorial'!L24/1000/1000</f>
        <v>1295.7236842105262</v>
      </c>
      <c r="L25" s="17">
        <f>'Datos Actividad'!$V21*'FE Sectorial'!$H24*'FE Sectorial'!M24/1000/1000</f>
        <v>86.381578947368411</v>
      </c>
      <c r="M25" s="17">
        <f>'Datos Actividad'!$V21*'FE Sectorial'!$H24*'FE Sectorial'!N24/1000/1000</f>
        <v>21.595394736842103</v>
      </c>
      <c r="N25" s="17">
        <f>'Datos Actividad'!$V21*'FE Sectorial'!$H24*'FE Sectorial'!O24/1000/1000</f>
        <v>0</v>
      </c>
      <c r="O25" s="87">
        <f>IF(D25&lt;400,H25+I25*'Factores generales'!$M$41+J25*'Factores generales'!$N$41,I25*'Factores generales'!$M$41+J25*'Factores generales'!$N$41)</f>
        <v>414787.06578947359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3868968.3467424009</v>
      </c>
      <c r="I26" s="134">
        <f t="shared" ref="I26:O26" si="6">I27+I28</f>
        <v>69.685063200000002</v>
      </c>
      <c r="J26" s="134">
        <f t="shared" si="6"/>
        <v>10.634176320000002</v>
      </c>
      <c r="K26" s="134">
        <f t="shared" si="6"/>
        <v>10523.27448</v>
      </c>
      <c r="L26" s="134">
        <f t="shared" si="6"/>
        <v>1342.3067639999999</v>
      </c>
      <c r="M26" s="134">
        <f t="shared" si="6"/>
        <v>337.00431600000002</v>
      </c>
      <c r="N26" s="134">
        <f t="shared" si="6"/>
        <v>2974.4</v>
      </c>
      <c r="O26" s="134">
        <f t="shared" si="6"/>
        <v>3873728.3277288005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3868968.3467424009</v>
      </c>
      <c r="I28" s="15">
        <f t="shared" si="7"/>
        <v>69.685063200000002</v>
      </c>
      <c r="J28" s="15">
        <f t="shared" si="7"/>
        <v>10.634176320000002</v>
      </c>
      <c r="K28" s="15">
        <f t="shared" si="7"/>
        <v>10523.27448</v>
      </c>
      <c r="L28" s="15">
        <f t="shared" si="7"/>
        <v>1342.3067639999999</v>
      </c>
      <c r="M28" s="15">
        <f t="shared" si="7"/>
        <v>337.00431600000002</v>
      </c>
      <c r="N28" s="15">
        <f t="shared" si="7"/>
        <v>2974.4</v>
      </c>
      <c r="O28" s="15">
        <f t="shared" si="7"/>
        <v>3873728.3277288005</v>
      </c>
    </row>
    <row r="29" spans="1:15" outlineLevel="1" x14ac:dyDescent="0.25">
      <c r="B29" s="1" t="s">
        <v>7</v>
      </c>
      <c r="G29" s="1"/>
      <c r="H29" s="95">
        <f t="shared" ref="H29:O29" si="8">H30+H31</f>
        <v>220051.70879999999</v>
      </c>
      <c r="I29" s="95">
        <f t="shared" si="8"/>
        <v>2.3735999999999997</v>
      </c>
      <c r="J29" s="95">
        <f t="shared" si="8"/>
        <v>3.5604000000000005</v>
      </c>
      <c r="K29" s="95">
        <f t="shared" si="8"/>
        <v>712.08</v>
      </c>
      <c r="L29" s="95">
        <f t="shared" si="8"/>
        <v>47.472000000000001</v>
      </c>
      <c r="M29" s="95">
        <f t="shared" si="8"/>
        <v>11.868</v>
      </c>
      <c r="N29" s="95">
        <f t="shared" si="8"/>
        <v>2272.4</v>
      </c>
      <c r="O29" s="95">
        <f t="shared" si="8"/>
        <v>221205.27839999998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Actividad'!$V26*'FE Sectorial'!$H29*'FE Sectorial'!I29*'FE Sectorial'!P29/1000</f>
        <v>220051.70879999999</v>
      </c>
      <c r="I30" s="17">
        <f>'Datos Actividad'!$V26*'FE Sectorial'!$H29*'FE Sectorial'!J29/1000/1000</f>
        <v>2.3735999999999997</v>
      </c>
      <c r="J30" s="17">
        <f>'Datos Actividad'!$V26*'FE Sectorial'!$H29*'FE Sectorial'!K29/1000/1000</f>
        <v>3.5604000000000005</v>
      </c>
      <c r="K30" s="17">
        <f>'Datos Actividad'!$V26*'FE Sectorial'!$H29*'FE Sectorial'!L29/1000/1000</f>
        <v>712.08</v>
      </c>
      <c r="L30" s="17">
        <f>'Datos Actividad'!$V26*'FE Sectorial'!$H29*'FE Sectorial'!M29/1000/1000</f>
        <v>47.472000000000001</v>
      </c>
      <c r="M30" s="17">
        <f>'Datos Actividad'!$V26*'FE Sectorial'!$H29*'FE Sectorial'!N29/1000/1000</f>
        <v>11.868</v>
      </c>
      <c r="N30" s="17">
        <f>'Datos Actividad'!$V26*'FE Sectorial'!$H29*'FE Sectorial'!O29/1000/1000</f>
        <v>2272.4</v>
      </c>
      <c r="O30" s="87">
        <f>IF(D30&lt;400,H30+I30*'Factores generales'!$M$41+J30*'Factores generales'!$N$41,I30*'Factores generales'!$M$41+J30*'Factores generales'!$N$41)</f>
        <v>221205.27839999998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Actividad'!$V27*'FE Sectorial'!$H30*'FE Sectorial'!I30*'FE Sectorial'!P30/1000</f>
        <v>0</v>
      </c>
      <c r="I31" s="17">
        <f>'Datos Actividad'!$V27*'FE Sectorial'!$H30*'FE Sectorial'!J30/1000/1000</f>
        <v>0</v>
      </c>
      <c r="J31" s="17">
        <f>'Datos Actividad'!$V27*'FE Sectorial'!$H30*'FE Sectorial'!K30/1000/1000</f>
        <v>0</v>
      </c>
      <c r="K31" s="17">
        <f>'Datos Actividad'!$V27*'FE Sectorial'!$H30*'FE Sectorial'!L30/1000/1000</f>
        <v>0</v>
      </c>
      <c r="L31" s="17">
        <f>'Datos Actividad'!$V27*'FE Sectorial'!$H30*'FE Sectorial'!M30/1000/1000</f>
        <v>0</v>
      </c>
      <c r="M31" s="17">
        <f>'Datos Actividad'!$V27*'FE Sectorial'!$H30*'FE Sectorial'!N30/1000/1000</f>
        <v>0</v>
      </c>
      <c r="N31" s="17">
        <f>'Datos Actividad'!$V27*'FE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3648916.6379424008</v>
      </c>
      <c r="I32" s="17">
        <f t="shared" ref="I32:O32" si="9">I33+I34+I35</f>
        <v>67.311463200000006</v>
      </c>
      <c r="J32" s="17">
        <f t="shared" si="9"/>
        <v>7.0737763200000003</v>
      </c>
      <c r="K32" s="17">
        <f t="shared" si="9"/>
        <v>9811.1944800000001</v>
      </c>
      <c r="L32" s="17">
        <f t="shared" si="9"/>
        <v>1294.834764</v>
      </c>
      <c r="M32" s="17">
        <f t="shared" si="9"/>
        <v>325.13631600000002</v>
      </c>
      <c r="N32" s="17">
        <f t="shared" si="9"/>
        <v>702</v>
      </c>
      <c r="O32" s="17">
        <f t="shared" si="9"/>
        <v>3652523.0493288003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Actividad'!$V29*'FE Sectorial'!$H32*'FE Sectorial'!I32*'FE Sectorial'!P32/1000</f>
        <v>3566037.8672424005</v>
      </c>
      <c r="I33" s="17">
        <f>'Datos Actividad'!$V29*'FE Sectorial'!$H32*'FE Sectorial'!J32/1000/1000</f>
        <v>63.885163200000001</v>
      </c>
      <c r="J33" s="17">
        <f>'Datos Actividad'!$V29*'FE Sectorial'!$H32*'FE Sectorial'!K32/1000/1000</f>
        <v>6.3885163200000008</v>
      </c>
      <c r="K33" s="17">
        <f>'Datos Actividad'!$V29*'FE Sectorial'!$H32*'FE Sectorial'!L32/1000/1000</f>
        <v>9582.77448</v>
      </c>
      <c r="L33" s="17">
        <f>'Datos Actividad'!$V29*'FE Sectorial'!$H32*'FE Sectorial'!M32/1000/1000</f>
        <v>1277.703264</v>
      </c>
      <c r="M33" s="17">
        <f>'Datos Actividad'!$V29*'FE Sectorial'!$H32*'FE Sectorial'!N32/1000/1000</f>
        <v>319.425816</v>
      </c>
      <c r="N33" s="17">
        <f>'Datos Actividad'!$V29*'FE Sectorial'!$H32*'FE Sectorial'!O32/1000/1000</f>
        <v>0</v>
      </c>
      <c r="O33" s="87">
        <f>IF(D33&lt;400,H33+I33*'Factores generales'!$M$41+J33*'Factores generales'!$N$41,I33*'Factores generales'!$M$41+J33*'Factores generales'!$N$41)</f>
        <v>3569359.8957288004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Actividad'!$V30*'FE Sectorial'!$H33*'FE Sectorial'!I33*'FE Sectorial'!P33/1000</f>
        <v>0</v>
      </c>
      <c r="I34" s="17">
        <f>'Datos Actividad'!$V30*'FE Sectorial'!$H33*'FE Sectorial'!J33/1000/1000</f>
        <v>0</v>
      </c>
      <c r="J34" s="17">
        <f>'Datos Actividad'!$V30*'FE Sectorial'!$H33*'FE Sectorial'!K33/1000/1000</f>
        <v>0</v>
      </c>
      <c r="K34" s="17">
        <f>'Datos Actividad'!$V30*'FE Sectorial'!$H33*'FE Sectorial'!L33/1000/1000</f>
        <v>0</v>
      </c>
      <c r="L34" s="17">
        <f>'Datos Actividad'!$V30*'FE Sectorial'!$H33*'FE Sectorial'!M33/1000/1000</f>
        <v>0</v>
      </c>
      <c r="M34" s="17">
        <f>'Datos Actividad'!$V30*'FE Sectorial'!$H33*'FE Sectorial'!N33/1000/1000</f>
        <v>0</v>
      </c>
      <c r="N34" s="17">
        <f>'Datos Actividad'!$V30*'FE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Actividad'!$V31*'FE Sectorial'!$H34*'FE Sectorial'!I34*'FE Sectorial'!P34/1000</f>
        <v>82878.770700000008</v>
      </c>
      <c r="I35" s="17">
        <f>'Datos Actividad'!$V31*'FE Sectorial'!$H34*'FE Sectorial'!J34/1000/1000</f>
        <v>3.4263000000000003</v>
      </c>
      <c r="J35" s="17">
        <f>'Datos Actividad'!$V31*'FE Sectorial'!$H34*'FE Sectorial'!K34/1000/1000</f>
        <v>0.68525999999999998</v>
      </c>
      <c r="K35" s="17">
        <f>'Datos Actividad'!$V31*'FE Sectorial'!$H34*'FE Sectorial'!L34/1000/1000</f>
        <v>228.42</v>
      </c>
      <c r="L35" s="17">
        <f>'Datos Actividad'!$V31*'FE Sectorial'!$H34*'FE Sectorial'!M34/1000/1000</f>
        <v>17.131499999999999</v>
      </c>
      <c r="M35" s="17">
        <f>'Datos Actividad'!$V31*'FE Sectorial'!$H34*'FE Sectorial'!N34/1000/1000</f>
        <v>5.7104999999999997</v>
      </c>
      <c r="N35" s="17">
        <f>'Datos Actividad'!$V31*'FE Sectorial'!$H34*'FE Sectorial'!O34/1000/1000</f>
        <v>702</v>
      </c>
      <c r="O35" s="87">
        <f>IF(D35&lt;400,H35+I35*'Factores generales'!$M$41+J35*'Factores generales'!$N$41,I35*'Factores generales'!$M$41+J35*'Factores generales'!$N$41)</f>
        <v>83163.15360000002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19133247.62772879</v>
      </c>
      <c r="I36" s="129">
        <f t="shared" si="10"/>
        <v>2730.2538194518993</v>
      </c>
      <c r="J36" s="129">
        <f t="shared" si="10"/>
        <v>387.21363600528531</v>
      </c>
      <c r="K36" s="129">
        <f t="shared" si="10"/>
        <v>56747.403643128164</v>
      </c>
      <c r="L36" s="129">
        <f t="shared" si="10"/>
        <v>318073.41327751288</v>
      </c>
      <c r="M36" s="129">
        <f t="shared" si="10"/>
        <v>5739.434980897815</v>
      </c>
      <c r="N36" s="129">
        <f t="shared" si="10"/>
        <v>6584.6628525577989</v>
      </c>
      <c r="O36" s="129">
        <f t="shared" si="10"/>
        <v>19449543.856151551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5642125.614096418</v>
      </c>
      <c r="I37" s="134">
        <f t="shared" ref="I37:O37" si="11">SUM(I38:I44)</f>
        <v>67.554465225543126</v>
      </c>
      <c r="J37" s="134">
        <f t="shared" si="11"/>
        <v>24.672135850039695</v>
      </c>
      <c r="K37" s="134">
        <f t="shared" si="11"/>
        <v>12052.815068919188</v>
      </c>
      <c r="L37" s="134">
        <f t="shared" si="11"/>
        <v>3562.3501848364685</v>
      </c>
      <c r="M37" s="134">
        <f t="shared" si="11"/>
        <v>529.73685463648758</v>
      </c>
      <c r="N37" s="134">
        <f t="shared" si="11"/>
        <v>0</v>
      </c>
      <c r="O37" s="134">
        <f t="shared" si="11"/>
        <v>5651192.6199796656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Actividad'!$V34*'FE Sectorial'!$H37*'FE Sectorial'!I37*'FE Sectorial'!P37/1000</f>
        <v>2472594.835891752</v>
      </c>
      <c r="I38" s="17">
        <f>'Datos Actividad'!$V34*'FE Sectorial'!$H37*'FE Sectorial'!J37/1000/1000</f>
        <v>44.296255535999997</v>
      </c>
      <c r="J38" s="17">
        <f>'Datos Actividad'!$V34*'FE Sectorial'!$H37*'FE Sectorial'!K37/1000/1000</f>
        <v>4.4296255536000002</v>
      </c>
      <c r="K38" s="17">
        <f>'Datos Actividad'!$V34*'FE Sectorial'!$H37*'FE Sectorial'!L37/1000/1000</f>
        <v>6644.4383303999994</v>
      </c>
      <c r="L38" s="17">
        <f>'Datos Actividad'!$V34*'FE Sectorial'!$H37*'FE Sectorial'!M37/1000/1000</f>
        <v>1328.8876660799999</v>
      </c>
      <c r="M38" s="17">
        <f>'Datos Actividad'!$V34*'FE Sectorial'!$H37*'FE Sectorial'!N37/1000/1000</f>
        <v>221.48127768000001</v>
      </c>
      <c r="N38" s="17">
        <f>'Datos Actividad'!$V34*'FE Sectorial'!$H37*'FE Sectorial'!O37/1000/1000</f>
        <v>0</v>
      </c>
      <c r="O38" s="87">
        <f>IF(D38&lt;400,H38+I38*'Factores generales'!$M$41+J38*'Factores generales'!$N$41,I38*'Factores generales'!$M$41+J38*'Factores generales'!$N$41)</f>
        <v>2474898.2411796241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Actividad'!$V35*'FE Sectorial'!$H38*'FE Sectorial'!I38*'FE Sectorial'!P38/1000</f>
        <v>1790321.2572301878</v>
      </c>
      <c r="I39" s="17">
        <f>'Datos Actividad'!$V35*'FE Sectorial'!$H38*'FE Sectorial'!J38/1000/1000</f>
        <v>6.9204532556250005</v>
      </c>
      <c r="J39" s="17">
        <f>'Datos Actividad'!$V35*'FE Sectorial'!$H38*'FE Sectorial'!K38/1000/1000</f>
        <v>0.69204532556249998</v>
      </c>
      <c r="K39" s="17">
        <f>'Datos Actividad'!$V35*'FE Sectorial'!$H38*'FE Sectorial'!L38/1000/1000</f>
        <v>1038.0679883437499</v>
      </c>
      <c r="L39" s="17">
        <f>'Datos Actividad'!$V35*'FE Sectorial'!$H38*'FE Sectorial'!M38/1000/1000</f>
        <v>207.61359766875</v>
      </c>
      <c r="M39" s="17">
        <f>'Datos Actividad'!$V35*'FE Sectorial'!$H38*'FE Sectorial'!N38/1000/1000</f>
        <v>34.602266278125001</v>
      </c>
      <c r="N39" s="17">
        <f>'Datos Actividad'!$V35*'FE Sectorial'!$H38*'FE Sectorial'!O38/1000/1000</f>
        <v>0</v>
      </c>
      <c r="O39" s="87">
        <f>IF(D39&lt;400,H39+I39*'Factores generales'!$M$41+J39*'Factores generales'!$N$41,I39*'Factores generales'!$M$41+J39*'Factores generales'!$N$41)</f>
        <v>1790681.1207994805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Actividad'!$V36*'FE Sectorial'!$H39*'FE Sectorial'!I39*'FE Sectorial'!P39/1000</f>
        <v>156395.47437360004</v>
      </c>
      <c r="I40" s="17">
        <f>'Datos Actividad'!$V36*'FE Sectorial'!$H39*'FE Sectorial'!J39/1000/1000</f>
        <v>3.5401212000000006</v>
      </c>
      <c r="J40" s="17">
        <f>'Datos Actividad'!$V36*'FE Sectorial'!$H39*'FE Sectorial'!K39/1000/1000</f>
        <v>0.3540121200000001</v>
      </c>
      <c r="K40" s="17">
        <f>'Datos Actividad'!$V36*'FE Sectorial'!$H39*'FE Sectorial'!L39/1000/1000</f>
        <v>531.01818000000014</v>
      </c>
      <c r="L40" s="17">
        <f>'Datos Actividad'!$V36*'FE Sectorial'!$H39*'FE Sectorial'!M39/1000/1000</f>
        <v>106.20363600000002</v>
      </c>
      <c r="M40" s="17">
        <f>'Datos Actividad'!$V36*'FE Sectorial'!$H39*'FE Sectorial'!N39/1000/1000</f>
        <v>17.700606000000004</v>
      </c>
      <c r="N40" s="17">
        <f>'Datos Actividad'!$V36*'FE Sectorial'!$H39*'FE Sectorial'!O39/1000/1000</f>
        <v>0</v>
      </c>
      <c r="O40" s="87">
        <f>IF(D40&lt;400,H40+I40*'Factores generales'!$M$41+J40*'Factores generales'!$N$41,I40*'Factores generales'!$M$41+J40*'Factores generales'!$N$41)</f>
        <v>156579.56067600002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Actividad'!$V37*'FE Sectorial'!$H40*'FE Sectorial'!I40*'FE Sectorial'!P40/1000</f>
        <v>0</v>
      </c>
      <c r="I41" s="17">
        <f>'Datos Actividad'!$V37*'FE Sectorial'!$H40*'FE Sectorial'!J40/1000/1000</f>
        <v>0</v>
      </c>
      <c r="J41" s="17">
        <f>'Datos Actividad'!$V37*'FE Sectorial'!$H40*'FE Sectorial'!K40/1000/1000</f>
        <v>0</v>
      </c>
      <c r="K41" s="17">
        <f>'Datos Actividad'!$V37*'FE Sectorial'!$H40*'FE Sectorial'!L40/1000/1000</f>
        <v>0</v>
      </c>
      <c r="L41" s="17">
        <f>'Datos Actividad'!$V37*'FE Sectorial'!$H40*'FE Sectorial'!M40/1000/1000</f>
        <v>0</v>
      </c>
      <c r="M41" s="17">
        <f>'Datos Actividad'!$V37*'FE Sectorial'!$H40*'FE Sectorial'!N40/1000/1000</f>
        <v>0</v>
      </c>
      <c r="N41" s="17">
        <f>'Datos Actividad'!$V37*'FE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Actividad'!$V38*'FE Sectorial'!$H41*'FE Sectorial'!I41*'FE Sectorial'!P41/1000</f>
        <v>0</v>
      </c>
      <c r="I42" s="17">
        <f>'Datos Actividad'!$V38*'FE Sectorial'!$H41*'FE Sectorial'!J41/1000/1000</f>
        <v>0</v>
      </c>
      <c r="J42" s="17">
        <f>'Datos Actividad'!$V38*'FE Sectorial'!$H41*'FE Sectorial'!K41/1000/1000</f>
        <v>0</v>
      </c>
      <c r="K42" s="17">
        <f>'Datos Actividad'!$V38*'FE Sectorial'!$H41*'FE Sectorial'!L41/1000/1000</f>
        <v>0</v>
      </c>
      <c r="L42" s="17">
        <f>'Datos Actividad'!$V38*'FE Sectorial'!$H41*'FE Sectorial'!M41/1000/1000</f>
        <v>0</v>
      </c>
      <c r="M42" s="17">
        <f>'Datos Actividad'!$V38*'FE Sectorial'!$H41*'FE Sectorial'!N41/1000/1000</f>
        <v>0</v>
      </c>
      <c r="N42" s="17">
        <f>'Datos Actividad'!$V38*'FE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Actividad'!$V39*'FE Sectorial'!$H42*'FE Sectorial'!I42*'FE Sectorial'!P42/1000</f>
        <v>1087902.7549342103</v>
      </c>
      <c r="I43" s="17">
        <f>'Datos Actividad'!$V39*'FE Sectorial'!$H42*'FE Sectorial'!J42/1000/1000</f>
        <v>11.385690789473683</v>
      </c>
      <c r="J43" s="17">
        <f>'Datos Actividad'!$V39*'FE Sectorial'!$H42*'FE Sectorial'!K42/1000/1000</f>
        <v>17.078536184210527</v>
      </c>
      <c r="K43" s="17">
        <f>'Datos Actividad'!$V39*'FE Sectorial'!$H42*'FE Sectorial'!L42/1000/1000</f>
        <v>3415.7072368421045</v>
      </c>
      <c r="L43" s="17">
        <f>'Datos Actividad'!$V39*'FE Sectorial'!$H42*'FE Sectorial'!M42/1000/1000</f>
        <v>1707.8536184210523</v>
      </c>
      <c r="M43" s="17">
        <f>'Datos Actividad'!$V39*'FE Sectorial'!$H42*'FE Sectorial'!N42/1000/1000</f>
        <v>227.71381578947364</v>
      </c>
      <c r="N43" s="17">
        <f>'Datos Actividad'!$V39*'FE Sectorial'!$H42*'FE Sectorial'!O42/1000/1000</f>
        <v>0</v>
      </c>
      <c r="O43" s="87">
        <f>IF(D43&lt;400,H43+I43*'Factores generales'!$M$41+J43*'Factores generales'!$N$41,I43*'Factores generales'!$M$41+J43*'Factores generales'!$N$41)</f>
        <v>1093436.2006578944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Actividad'!$V40*'FE Sectorial'!$H43*'FE Sectorial'!I43*'FE Sectorial'!P43/1000</f>
        <v>134911.29166666669</v>
      </c>
      <c r="I44" s="17">
        <f>'Datos Actividad'!$V40*'FE Sectorial'!$H43*'FE Sectorial'!J43/1000/1000</f>
        <v>1.4119444444444447</v>
      </c>
      <c r="J44" s="17">
        <f>'Datos Actividad'!$V40*'FE Sectorial'!$H43*'FE Sectorial'!K43/1000/1000</f>
        <v>2.1179166666666669</v>
      </c>
      <c r="K44" s="17">
        <f>'Datos Actividad'!$V40*'FE Sectorial'!$H43*'FE Sectorial'!L43/1000/1000</f>
        <v>423.58333333333337</v>
      </c>
      <c r="L44" s="17">
        <f>'Datos Actividad'!$V40*'FE Sectorial'!$H43*'FE Sectorial'!M43/1000/1000</f>
        <v>211.79166666666669</v>
      </c>
      <c r="M44" s="17">
        <f>'Datos Actividad'!$V40*'FE Sectorial'!$H43*'FE Sectorial'!N43/1000/1000</f>
        <v>28.238888888888887</v>
      </c>
      <c r="N44" s="17">
        <f>'Datos Actividad'!$V40*'FE Sectorial'!$H43*'FE Sectorial'!O43/1000/1000</f>
        <v>0</v>
      </c>
      <c r="O44" s="87">
        <f>IF(D44&lt;400,H44+I44*'Factores generales'!$M$41+J44*'Factores generales'!$N$41,I44*'Factores generales'!$M$41+J44*'Factores generales'!$N$41)</f>
        <v>135597.4966666667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238832.64579398403</v>
      </c>
      <c r="I45" s="134">
        <f t="shared" ref="I45:O45" si="12">I46</f>
        <v>4.2786597120000005</v>
      </c>
      <c r="J45" s="134">
        <f t="shared" si="12"/>
        <v>0.42786597120000003</v>
      </c>
      <c r="K45" s="134">
        <f t="shared" si="12"/>
        <v>641.79895680000004</v>
      </c>
      <c r="L45" s="134">
        <f t="shared" si="12"/>
        <v>128.35979136000003</v>
      </c>
      <c r="M45" s="134">
        <f t="shared" si="12"/>
        <v>21.393298560000002</v>
      </c>
      <c r="N45" s="134">
        <f t="shared" si="12"/>
        <v>0</v>
      </c>
      <c r="O45" s="134">
        <f t="shared" si="12"/>
        <v>239055.13609900803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Actividad'!$V42*'FE Sectorial'!$H45*'FE Sectorial'!I45*'FE Sectorial'!P45/1000</f>
        <v>238832.64579398403</v>
      </c>
      <c r="I46" s="17">
        <f>'Datos Actividad'!$V42*'FE Sectorial'!$H45*'FE Sectorial'!J45/1000/1000</f>
        <v>4.2786597120000005</v>
      </c>
      <c r="J46" s="17">
        <f>'Datos Actividad'!$V42*'FE Sectorial'!$H45*'FE Sectorial'!K45/1000/1000</f>
        <v>0.42786597120000003</v>
      </c>
      <c r="K46" s="17">
        <f>'Datos Actividad'!$V42*'FE Sectorial'!$H45*'FE Sectorial'!L45/1000/1000</f>
        <v>641.79895680000004</v>
      </c>
      <c r="L46" s="17">
        <f>'Datos Actividad'!$V42*'FE Sectorial'!$H45*'FE Sectorial'!M45/1000/1000</f>
        <v>128.35979136000003</v>
      </c>
      <c r="M46" s="17">
        <f>'Datos Actividad'!$V42*'FE Sectorial'!$H45*'FE Sectorial'!N45/1000/1000</f>
        <v>21.393298560000002</v>
      </c>
      <c r="N46" s="17">
        <f>'Datos Actividad'!$V42*'FE Sectorial'!$H45*'FE Sectorial'!O45/1000/1000</f>
        <v>0</v>
      </c>
      <c r="O46" s="87">
        <f>IF(D46&lt;400,H46+I46*'Factores generales'!$M$41+J46*'Factores generales'!$N$41,I46*'Factores generales'!$M$41+J46*'Factores generales'!$N$41)</f>
        <v>239055.13609900803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792195.45722380804</v>
      </c>
      <c r="I47" s="134">
        <f t="shared" ref="I47:O47" si="13">SUM(I48:I55)</f>
        <v>154.77252396862212</v>
      </c>
      <c r="J47" s="134">
        <f t="shared" si="13"/>
        <v>22.15121827285839</v>
      </c>
      <c r="K47" s="134">
        <f t="shared" si="13"/>
        <v>3024.836635646986</v>
      </c>
      <c r="L47" s="134">
        <f t="shared" si="13"/>
        <v>19196.812039909972</v>
      </c>
      <c r="M47" s="134">
        <f t="shared" si="13"/>
        <v>331.82787434875627</v>
      </c>
      <c r="N47" s="134">
        <f t="shared" si="13"/>
        <v>0</v>
      </c>
      <c r="O47" s="134">
        <f t="shared" si="13"/>
        <v>941237.22894436656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Actividad'!$V44*'FE Sectorial'!$H47*'FE Sectorial'!I47*'FE Sectorial'!P47/1000</f>
        <v>734960.96310700802</v>
      </c>
      <c r="I48" s="17">
        <f>'Datos Actividad'!$V44*'FE Sectorial'!$H47*'FE Sectorial'!J47/1000/1000</f>
        <v>13.166742144000001</v>
      </c>
      <c r="J48" s="17">
        <f>'Datos Actividad'!$V44*'FE Sectorial'!$H47*'FE Sectorial'!K47/1000/1000</f>
        <v>1.3166742143999999</v>
      </c>
      <c r="K48" s="17">
        <f>'Datos Actividad'!$V44*'FE Sectorial'!$H47*'FE Sectorial'!L47/1000/1000</f>
        <v>1975.0113216</v>
      </c>
      <c r="L48" s="17">
        <f>'Datos Actividad'!$V44*'FE Sectorial'!$H47*'FE Sectorial'!M47/1000/1000</f>
        <v>395.00226431999999</v>
      </c>
      <c r="M48" s="17">
        <f>'Datos Actividad'!$V44*'FE Sectorial'!$H47*'FE Sectorial'!N47/1000/1000</f>
        <v>65.833710719999999</v>
      </c>
      <c r="N48" s="17">
        <f>'Datos Actividad'!$V44*'FE Sectorial'!$H47*'FE Sectorial'!O47/1000/1000</f>
        <v>0</v>
      </c>
      <c r="O48" s="87">
        <f>IF(D48&lt;400,H48+I48*'Factores generales'!$M$41+J48*'Factores generales'!$N$41,I48*'Factores generales'!$M$41+J48*'Factores generales'!$N$41)</f>
        <v>735645.63369849592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Actividad'!$V45*'FE Sectorial'!$H48*'FE Sectorial'!I48*'FE Sectorial'!P48/1000</f>
        <v>57234.4941168</v>
      </c>
      <c r="I49" s="17">
        <f>'Datos Actividad'!$V45*'FE Sectorial'!$H48*'FE Sectorial'!J48/1000/1000</f>
        <v>0.99864765</v>
      </c>
      <c r="J49" s="17">
        <f>'Datos Actividad'!$V45*'FE Sectorial'!$H48*'FE Sectorial'!K48/1000/1000</f>
        <v>9.9864765000000022E-2</v>
      </c>
      <c r="K49" s="17">
        <f>'Datos Actividad'!$V45*'FE Sectorial'!$H48*'FE Sectorial'!L48/1000/1000</f>
        <v>149.79714749999999</v>
      </c>
      <c r="L49" s="17">
        <f>'Datos Actividad'!$V45*'FE Sectorial'!$H48*'FE Sectorial'!M48/1000/1000</f>
        <v>29.959429499999999</v>
      </c>
      <c r="M49" s="17">
        <f>'Datos Actividad'!$V45*'FE Sectorial'!$H48*'FE Sectorial'!N48/1000/1000</f>
        <v>4.9932382500000001</v>
      </c>
      <c r="N49" s="17">
        <f>'Datos Actividad'!$V45*'FE Sectorial'!$H48*'FE Sectorial'!O48/1000/1000</f>
        <v>0</v>
      </c>
      <c r="O49" s="87">
        <f>IF(D49&lt;400,H49+I49*'Factores generales'!$M$41+J49*'Factores generales'!$N$41,I49*'Factores generales'!$M$41+J49*'Factores generales'!$N$41)</f>
        <v>57286.423794599999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Actividad'!$V46*'FE Sectorial'!$H49*'FE Sectorial'!I49*'FE Sectorial'!P49/1000</f>
        <v>0</v>
      </c>
      <c r="I50" s="17">
        <f>'Datos Actividad'!$V46*'FE Sectorial'!$H49*'FE Sectorial'!J49/1000/1000</f>
        <v>0</v>
      </c>
      <c r="J50" s="17">
        <f>'Datos Actividad'!$V46*'FE Sectorial'!$H49*'FE Sectorial'!K49/1000/1000</f>
        <v>0</v>
      </c>
      <c r="K50" s="17">
        <f>'Datos Actividad'!$V46*'FE Sectorial'!$H49*'FE Sectorial'!L49/1000/1000</f>
        <v>0</v>
      </c>
      <c r="L50" s="17">
        <f>'Datos Actividad'!$V46*'FE Sectorial'!$H49*'FE Sectorial'!M49/1000/1000</f>
        <v>0</v>
      </c>
      <c r="M50" s="17">
        <f>'Datos Actividad'!$V46*'FE Sectorial'!$H49*'FE Sectorial'!N49/1000/1000</f>
        <v>0</v>
      </c>
      <c r="N50" s="17">
        <f>'Datos Actividad'!$V46*'FE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Actividad'!$V47*'FE Sectorial'!$H50*'FE Sectorial'!I50*'FE Sectorial'!P50/1000</f>
        <v>0</v>
      </c>
      <c r="I51" s="17">
        <f>'Datos Actividad'!$V47*'FE Sectorial'!$H50*'FE Sectorial'!J50/1000/1000</f>
        <v>0</v>
      </c>
      <c r="J51" s="17">
        <f>'Datos Actividad'!$V47*'FE Sectorial'!$H50*'FE Sectorial'!K50/1000/1000</f>
        <v>0</v>
      </c>
      <c r="K51" s="17">
        <f>'Datos Actividad'!$V47*'FE Sectorial'!$H50*'FE Sectorial'!L50/1000/1000</f>
        <v>0</v>
      </c>
      <c r="L51" s="17">
        <f>'Datos Actividad'!$V47*'FE Sectorial'!$H50*'FE Sectorial'!M50/1000/1000</f>
        <v>0</v>
      </c>
      <c r="M51" s="17">
        <f>'Datos Actividad'!$V47*'FE Sectorial'!$H50*'FE Sectorial'!N50/1000/1000</f>
        <v>0</v>
      </c>
      <c r="N51" s="17">
        <f>'Datos Actividad'!$V47*'FE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Actividad'!$V48*'FE Sectorial'!$H51*'FE Sectorial'!I51*'FE Sectorial'!P51/1000</f>
        <v>0</v>
      </c>
      <c r="I52" s="17">
        <f>'Datos Actividad'!$V48*'FE Sectorial'!$H51*'FE Sectorial'!J51/1000/1000</f>
        <v>0</v>
      </c>
      <c r="J52" s="17">
        <f>'Datos Actividad'!$V48*'FE Sectorial'!$H51*'FE Sectorial'!K51/1000/1000</f>
        <v>0</v>
      </c>
      <c r="K52" s="17">
        <f>'Datos Actividad'!$V48*'FE Sectorial'!$H51*'FE Sectorial'!L51/1000/1000</f>
        <v>0</v>
      </c>
      <c r="L52" s="17">
        <f>'Datos Actividad'!$V48*'FE Sectorial'!$H51*'FE Sectorial'!M51/1000/1000</f>
        <v>0</v>
      </c>
      <c r="M52" s="17">
        <f>'Datos Actividad'!$V48*'FE Sectorial'!$H51*'FE Sectorial'!N51/1000/1000</f>
        <v>0</v>
      </c>
      <c r="N52" s="17">
        <f>'Datos Actividad'!$V48*'FE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Actividad'!$V49*'FE Sectorial'!$H52*'FE Sectorial'!I52*'FE Sectorial'!P52/1000</f>
        <v>403544.24173798331</v>
      </c>
      <c r="I53" s="17">
        <f>'Datos Actividad'!$V49*'FE Sectorial'!$H52*'FE Sectorial'!J52/1000/1000</f>
        <v>139.15318680620109</v>
      </c>
      <c r="J53" s="17">
        <f>'Datos Actividad'!$V49*'FE Sectorial'!$H52*'FE Sectorial'!K52/1000/1000</f>
        <v>18.553758240826813</v>
      </c>
      <c r="K53" s="17">
        <f>'Datos Actividad'!$V49*'FE Sectorial'!$H52*'FE Sectorial'!L52/1000/1000</f>
        <v>463.84395602067042</v>
      </c>
      <c r="L53" s="17">
        <f>'Datos Actividad'!$V49*'FE Sectorial'!$H52*'FE Sectorial'!M52/1000/1000</f>
        <v>18553.758240826814</v>
      </c>
      <c r="M53" s="17">
        <f>'Datos Actividad'!$V49*'FE Sectorial'!$H52*'FE Sectorial'!N52/1000/1000</f>
        <v>231.92197801033521</v>
      </c>
      <c r="N53" s="17">
        <f>'Datos Actividad'!$V49*'FE Sectorial'!$H52*'FE Sectorial'!O52/1000/1000</f>
        <v>0</v>
      </c>
      <c r="O53" s="87">
        <f>IF(D53&lt;400,H53+I53*'Factores generales'!$M$41+J53*'Factores generales'!$N$41,I53*'Factores generales'!$M$41+J53*'Factores generales'!$N$41)</f>
        <v>8673.8819775865359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Actividad'!$V50*'FE Sectorial'!$H53*'FE Sectorial'!I53*'FE Sectorial'!P53/1000</f>
        <v>138924.67105263157</v>
      </c>
      <c r="I54" s="17">
        <f>'Datos Actividad'!$V50*'FE Sectorial'!$H53*'FE Sectorial'!J53/1000/1000</f>
        <v>1.4539473684210527</v>
      </c>
      <c r="J54" s="17">
        <f>'Datos Actividad'!$V50*'FE Sectorial'!$H53*'FE Sectorial'!K53/1000/1000</f>
        <v>2.1809210526315792</v>
      </c>
      <c r="K54" s="17">
        <f>'Datos Actividad'!$V50*'FE Sectorial'!$H53*'FE Sectorial'!L53/1000/1000</f>
        <v>436.18421052631584</v>
      </c>
      <c r="L54" s="17">
        <f>'Datos Actividad'!$V50*'FE Sectorial'!$H53*'FE Sectorial'!M53/1000/1000</f>
        <v>218.09210526315792</v>
      </c>
      <c r="M54" s="17">
        <f>'Datos Actividad'!$V50*'FE Sectorial'!$H53*'FE Sectorial'!N53/1000/1000</f>
        <v>29.078947368421058</v>
      </c>
      <c r="N54" s="17">
        <f>'Datos Actividad'!$V50*'FE Sectorial'!$H53*'FE Sectorial'!O53/1000/1000</f>
        <v>0</v>
      </c>
      <c r="O54" s="87">
        <f>IF(D54&lt;400,H54+I54*'Factores generales'!$M$41+J54*'Factores generales'!$N$41,I54*'Factores generales'!$M$41+J54*'Factores generales'!$N$41)</f>
        <v>139631.28947368421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Actividad'!$V51*'FE Sectorial'!$H54*'FE Sectorial'!I54*'FE Sectorial'!P54/1000</f>
        <v>0</v>
      </c>
      <c r="I55" s="17">
        <f>'Datos Actividad'!$V51*'FE Sectorial'!$H54*'FE Sectorial'!J54/1000/1000</f>
        <v>0</v>
      </c>
      <c r="J55" s="17">
        <f>'Datos Actividad'!$V51*'FE Sectorial'!$H54*'FE Sectorial'!K54/1000/1000</f>
        <v>0</v>
      </c>
      <c r="K55" s="17">
        <f>'Datos Actividad'!$V51*'FE Sectorial'!$H54*'FE Sectorial'!L54/1000/1000</f>
        <v>0</v>
      </c>
      <c r="L55" s="17">
        <f>'Datos Actividad'!$V51*'FE Sectorial'!$H54*'FE Sectorial'!M54/1000/1000</f>
        <v>0</v>
      </c>
      <c r="M55" s="17">
        <f>'Datos Actividad'!$V51*'FE Sectorial'!$H54*'FE Sectorial'!N54/1000/1000</f>
        <v>0</v>
      </c>
      <c r="N55" s="17">
        <f>'Datos Actividad'!$V51*'FE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713384.806166208</v>
      </c>
      <c r="I56" s="134">
        <f>SUM(I57:I62)</f>
        <v>477.53857021000385</v>
      </c>
      <c r="J56" s="134">
        <f t="shared" ref="J56:O56" si="14">SUM(J57:J62)</f>
        <v>63.24580243653385</v>
      </c>
      <c r="K56" s="134">
        <f t="shared" si="14"/>
        <v>3466.2257031533463</v>
      </c>
      <c r="L56" s="134">
        <f t="shared" si="14"/>
        <v>58521.075894453854</v>
      </c>
      <c r="M56" s="134">
        <f t="shared" si="14"/>
        <v>838.49830949667307</v>
      </c>
      <c r="N56" s="134">
        <f t="shared" si="14"/>
        <v>491.04</v>
      </c>
      <c r="O56" s="134">
        <f t="shared" si="14"/>
        <v>743019.31489594362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Actividad'!$V53*'FE Sectorial'!$H56*'FE Sectorial'!I56*'FE Sectorial'!P56/1000</f>
        <v>713384.806166208</v>
      </c>
      <c r="I57" s="17">
        <f>'Datos Actividad'!$V53*'FE Sectorial'!$H56*'FE Sectorial'!J56/1000/1000</f>
        <v>12.780207744000002</v>
      </c>
      <c r="J57" s="17">
        <f>'Datos Actividad'!$V53*'FE Sectorial'!$H56*'FE Sectorial'!K56/1000/1000</f>
        <v>1.2780207744000001</v>
      </c>
      <c r="K57" s="17">
        <f>'Datos Actividad'!$V53*'FE Sectorial'!$H56*'FE Sectorial'!L56/1000/1000</f>
        <v>1917.0311616000001</v>
      </c>
      <c r="L57" s="17">
        <f>'Datos Actividad'!$V53*'FE Sectorial'!$H56*'FE Sectorial'!M56/1000/1000</f>
        <v>383.40623232000007</v>
      </c>
      <c r="M57" s="17">
        <f>'Datos Actividad'!$V53*'FE Sectorial'!$H56*'FE Sectorial'!N56/1000/1000</f>
        <v>63.901038720000003</v>
      </c>
      <c r="N57" s="17">
        <f>'Datos Actividad'!$V53*'FE Sectorial'!$H56*'FE Sectorial'!O56/1000/1000</f>
        <v>0</v>
      </c>
      <c r="O57" s="87">
        <f>IF(D57&lt;400,H57+I57*'Factores generales'!$M$41+J57*'Factores generales'!$N$41,I57*'Factores generales'!$M$41+J57*'Factores generales'!$N$41)</f>
        <v>714049.37696889602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Actividad'!$V54*'FE Sectorial'!$H57*'FE Sectorial'!I57*'FE Sectorial'!P57/1000</f>
        <v>0</v>
      </c>
      <c r="I58" s="17">
        <f>'Datos Actividad'!$V54*'FE Sectorial'!$H57*'FE Sectorial'!J57/1000/1000</f>
        <v>0</v>
      </c>
      <c r="J58" s="17">
        <f>'Datos Actividad'!$V54*'FE Sectorial'!$H57*'FE Sectorial'!K57/1000/1000</f>
        <v>0</v>
      </c>
      <c r="K58" s="17">
        <f>'Datos Actividad'!$V54*'FE Sectorial'!$H57*'FE Sectorial'!L57/1000/1000</f>
        <v>0</v>
      </c>
      <c r="L58" s="17">
        <f>'Datos Actividad'!$V54*'FE Sectorial'!$H57*'FE Sectorial'!M57/1000/1000</f>
        <v>0</v>
      </c>
      <c r="M58" s="17">
        <f>'Datos Actividad'!$V54*'FE Sectorial'!$H57*'FE Sectorial'!N57/1000/1000</f>
        <v>0</v>
      </c>
      <c r="N58" s="17">
        <f>'Datos Actividad'!$V54*'FE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Actividad'!$V55*'FE Sectorial'!$H58*'FE Sectorial'!I58*'FE Sectorial'!P58/1000</f>
        <v>0</v>
      </c>
      <c r="I59" s="17">
        <f>'Datos Actividad'!$V55*'FE Sectorial'!$H58*'FE Sectorial'!J58/1000/1000</f>
        <v>0</v>
      </c>
      <c r="J59" s="17">
        <f>'Datos Actividad'!$V55*'FE Sectorial'!$H58*'FE Sectorial'!K58/1000/1000</f>
        <v>0</v>
      </c>
      <c r="K59" s="17">
        <f>'Datos Actividad'!$V55*'FE Sectorial'!$H58*'FE Sectorial'!L58/1000/1000</f>
        <v>0</v>
      </c>
      <c r="L59" s="17">
        <f>'Datos Actividad'!$V55*'FE Sectorial'!$H58*'FE Sectorial'!M58/1000/1000</f>
        <v>0</v>
      </c>
      <c r="M59" s="17">
        <f>'Datos Actividad'!$V55*'FE Sectorial'!$H58*'FE Sectorial'!N58/1000/1000</f>
        <v>0</v>
      </c>
      <c r="N59" s="17">
        <f>'Datos Actividad'!$V55*'FE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Actividad'!$V56*'FE Sectorial'!$H59*'FE Sectorial'!I59*'FE Sectorial'!P59/1000</f>
        <v>720276.13199999975</v>
      </c>
      <c r="I60" s="17">
        <f>'Datos Actividad'!$V56*'FE Sectorial'!$H59*'FE Sectorial'!J59/1000/1000</f>
        <v>248.37107999999992</v>
      </c>
      <c r="J60" s="17">
        <f>'Datos Actividad'!$V56*'FE Sectorial'!$H59*'FE Sectorial'!K59/1000/1000</f>
        <v>33.116143999999991</v>
      </c>
      <c r="K60" s="17">
        <f>'Datos Actividad'!$V56*'FE Sectorial'!$H59*'FE Sectorial'!L59/1000/1000</f>
        <v>827.90359999999976</v>
      </c>
      <c r="L60" s="17">
        <f>'Datos Actividad'!$V56*'FE Sectorial'!$H59*'FE Sectorial'!M59/1000/1000</f>
        <v>33116.143999999993</v>
      </c>
      <c r="M60" s="17">
        <f>'Datos Actividad'!$V56*'FE Sectorial'!$H59*'FE Sectorial'!N59/1000/1000</f>
        <v>413.95179999999988</v>
      </c>
      <c r="N60" s="17">
        <f>'Datos Actividad'!$V56*'FE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15481.797319999996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Actividad'!$V57*'FE Sectorial'!$H60*'FE Sectorial'!I60*'FE Sectorial'!P60/1000</f>
        <v>186603.05664</v>
      </c>
      <c r="I61" s="17">
        <f>'Datos Actividad'!$V57*'FE Sectorial'!$H60*'FE Sectorial'!J60/1000/1000</f>
        <v>57.451680000000003</v>
      </c>
      <c r="J61" s="17">
        <f>'Datos Actividad'!$V57*'FE Sectorial'!$H60*'FE Sectorial'!K60/1000/1000</f>
        <v>7.6602240000000004</v>
      </c>
      <c r="K61" s="17">
        <f>'Datos Actividad'!$V57*'FE Sectorial'!$H60*'FE Sectorial'!L60/1000/1000</f>
        <v>191.50560000000002</v>
      </c>
      <c r="L61" s="17">
        <f>'Datos Actividad'!$V57*'FE Sectorial'!$H60*'FE Sectorial'!M60/1000/1000</f>
        <v>3830.1120000000001</v>
      </c>
      <c r="M61" s="17">
        <f>'Datos Actividad'!$V57*'FE Sectorial'!$H60*'FE Sectorial'!N60/1000/1000</f>
        <v>95.752800000000008</v>
      </c>
      <c r="N61" s="17">
        <f>'Datos Actividad'!$V57*'FE Sectorial'!$H60*'FE Sectorial'!O60/1000/1000</f>
        <v>491.04</v>
      </c>
      <c r="O61" s="87">
        <f>IF(D61&lt;400,H61+I61*'Factores generales'!$M$41+J61*'Factores generales'!$N$41,I61*'Factores generales'!$M$41+J61*'Factores generales'!$N$41)</f>
        <v>3581.1547200000005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Actividad'!$V58*'FE Sectorial'!$H61*'FE Sectorial'!I61*'FE Sectorial'!P61/1000</f>
        <v>460913.24715141143</v>
      </c>
      <c r="I62" s="17">
        <f>'Datos Actividad'!$V58*'FE Sectorial'!$H61*'FE Sectorial'!J61/1000/1000</f>
        <v>158.9356024660039</v>
      </c>
      <c r="J62" s="17">
        <f>'Datos Actividad'!$V58*'FE Sectorial'!$H61*'FE Sectorial'!K61/1000/1000</f>
        <v>21.191413662133858</v>
      </c>
      <c r="K62" s="17">
        <f>'Datos Actividad'!$V58*'FE Sectorial'!$H61*'FE Sectorial'!L61/1000/1000</f>
        <v>529.78534155334648</v>
      </c>
      <c r="L62" s="17">
        <f>'Datos Actividad'!$V58*'FE Sectorial'!$H61*'FE Sectorial'!M61/1000/1000</f>
        <v>21191.413662133858</v>
      </c>
      <c r="M62" s="17">
        <f>'Datos Actividad'!$V58*'FE Sectorial'!$H61*'FE Sectorial'!N61/1000/1000</f>
        <v>264.89267077667324</v>
      </c>
      <c r="N62" s="17">
        <f>'Datos Actividad'!$V58*'FE Sectorial'!$H61*'FE Sectorial'!O61/1000/1000</f>
        <v>0</v>
      </c>
      <c r="O62" s="87">
        <f>IF(D62&lt;400,H62+I62*'Factores generales'!$M$41+J62*'Factores generales'!$N$41,I62*'Factores generales'!$M$41+J62*'Factores generales'!$N$41)</f>
        <v>9906.9858870475782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2092783.1953580643</v>
      </c>
      <c r="I63" s="134">
        <f>SUM(I64:I69)</f>
        <v>1591.7631143016129</v>
      </c>
      <c r="J63" s="134">
        <f t="shared" ref="J63:O63" si="15">SUM(J64:J69)</f>
        <v>210.98534946848173</v>
      </c>
      <c r="K63" s="134">
        <f t="shared" si="15"/>
        <v>10804.699776632046</v>
      </c>
      <c r="L63" s="134">
        <f t="shared" si="15"/>
        <v>208322.22334784173</v>
      </c>
      <c r="M63" s="134">
        <f t="shared" si="15"/>
        <v>2777.9117676760225</v>
      </c>
      <c r="N63" s="134">
        <f t="shared" si="15"/>
        <v>4.96</v>
      </c>
      <c r="O63" s="134">
        <f t="shared" si="15"/>
        <v>2191615.6790936277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Actividad'!$V60*'FE Sectorial'!$H63*'FE Sectorial'!I63*'FE Sectorial'!P63/1000</f>
        <v>2092783.1953580643</v>
      </c>
      <c r="I64" s="17">
        <f>'Datos Actividad'!$V60*'FE Sectorial'!$H63*'FE Sectorial'!J63/1000/1000</f>
        <v>37.491973152000007</v>
      </c>
      <c r="J64" s="17">
        <f>'Datos Actividad'!$V60*'FE Sectorial'!$H63*'FE Sectorial'!K63/1000/1000</f>
        <v>3.7491973152000004</v>
      </c>
      <c r="K64" s="17">
        <f>'Datos Actividad'!$V60*'FE Sectorial'!$H63*'FE Sectorial'!L63/1000/1000</f>
        <v>5623.7959728000005</v>
      </c>
      <c r="L64" s="17">
        <f>'Datos Actividad'!$V60*'FE Sectorial'!$H63*'FE Sectorial'!M63/1000/1000</f>
        <v>1124.7591945600002</v>
      </c>
      <c r="M64" s="17">
        <f>'Datos Actividad'!$V60*'FE Sectorial'!$H63*'FE Sectorial'!N63/1000/1000</f>
        <v>187.45986576000001</v>
      </c>
      <c r="N64" s="17">
        <f>'Datos Actividad'!$V60*'FE Sectorial'!$H63*'FE Sectorial'!O63/1000/1000</f>
        <v>0</v>
      </c>
      <c r="O64" s="87">
        <f>IF(D64&lt;400,H64+I64*'Factores generales'!$M$41+J64*'Factores generales'!$N$41,I64*'Factores generales'!$M$41+J64*'Factores generales'!$N$41)</f>
        <v>2094732.7779619682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Actividad'!$V61*'FE Sectorial'!$H64*'FE Sectorial'!I64*'FE Sectorial'!P64/1000</f>
        <v>0</v>
      </c>
      <c r="I65" s="17">
        <f>'Datos Actividad'!$V61*'FE Sectorial'!$H64*'FE Sectorial'!J64/1000/1000</f>
        <v>0</v>
      </c>
      <c r="J65" s="17">
        <f>'Datos Actividad'!$V61*'FE Sectorial'!$H64*'FE Sectorial'!K64/1000/1000</f>
        <v>0</v>
      </c>
      <c r="K65" s="17">
        <f>'Datos Actividad'!$V61*'FE Sectorial'!$H64*'FE Sectorial'!L64/1000/1000</f>
        <v>0</v>
      </c>
      <c r="L65" s="17">
        <f>'Datos Actividad'!$V61*'FE Sectorial'!$H64*'FE Sectorial'!M64/1000/1000</f>
        <v>0</v>
      </c>
      <c r="M65" s="17">
        <f>'Datos Actividad'!$V61*'FE Sectorial'!$H64*'FE Sectorial'!N64/1000/1000</f>
        <v>0</v>
      </c>
      <c r="N65" s="17">
        <f>'Datos Actividad'!$V61*'FE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Actividad'!$V62*'FE Sectorial'!$H65*'FE Sectorial'!I65*'FE Sectorial'!P65/1000</f>
        <v>0</v>
      </c>
      <c r="I66" s="17">
        <f>'Datos Actividad'!$V62*'FE Sectorial'!$H65*'FE Sectorial'!J65/1000/1000</f>
        <v>0</v>
      </c>
      <c r="J66" s="17">
        <f>'Datos Actividad'!$V62*'FE Sectorial'!$H65*'FE Sectorial'!K65/1000/1000</f>
        <v>0</v>
      </c>
      <c r="K66" s="17">
        <f>'Datos Actividad'!$V62*'FE Sectorial'!$H65*'FE Sectorial'!L65/1000/1000</f>
        <v>0</v>
      </c>
      <c r="L66" s="17">
        <f>'Datos Actividad'!$V62*'FE Sectorial'!$H65*'FE Sectorial'!M65/1000/1000</f>
        <v>0</v>
      </c>
      <c r="M66" s="17">
        <f>'Datos Actividad'!$V62*'FE Sectorial'!$H65*'FE Sectorial'!N65/1000/1000</f>
        <v>0</v>
      </c>
      <c r="N66" s="17">
        <f>'Datos Actividad'!$V62*'FE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Actividad'!$V63*'FE Sectorial'!$H66*'FE Sectorial'!I66*'FE Sectorial'!P66/1000</f>
        <v>4081564.7479999997</v>
      </c>
      <c r="I67" s="17">
        <f>'Datos Actividad'!$V63*'FE Sectorial'!$H66*'FE Sectorial'!J66/1000/1000</f>
        <v>1407.4361199999996</v>
      </c>
      <c r="J67" s="17">
        <f>'Datos Actividad'!$V63*'FE Sectorial'!$H66*'FE Sectorial'!K66/1000/1000</f>
        <v>187.65814933333331</v>
      </c>
      <c r="K67" s="17">
        <f>'Datos Actividad'!$V63*'FE Sectorial'!$H66*'FE Sectorial'!L66/1000/1000</f>
        <v>4691.4537333333337</v>
      </c>
      <c r="L67" s="17">
        <f>'Datos Actividad'!$V63*'FE Sectorial'!$H66*'FE Sectorial'!M66/1000/1000</f>
        <v>187658.14933333331</v>
      </c>
      <c r="M67" s="17">
        <f>'Datos Actividad'!$V63*'FE Sectorial'!$H66*'FE Sectorial'!N66/1000/1000</f>
        <v>2345.7268666666669</v>
      </c>
      <c r="N67" s="17">
        <f>'Datos Actividad'!$V63*'FE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87730.184813333326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Actividad'!$V64*'FE Sectorial'!$H67*'FE Sectorial'!I67*'FE Sectorial'!P67/1000</f>
        <v>1884.8793600000001</v>
      </c>
      <c r="I68" s="17">
        <f>'Datos Actividad'!$V64*'FE Sectorial'!$H67*'FE Sectorial'!J67/1000/1000</f>
        <v>0.58032000000000006</v>
      </c>
      <c r="J68" s="17">
        <f>'Datos Actividad'!$V64*'FE Sectorial'!$H67*'FE Sectorial'!K67/1000/1000</f>
        <v>7.7376E-2</v>
      </c>
      <c r="K68" s="17">
        <f>'Datos Actividad'!$V64*'FE Sectorial'!$H67*'FE Sectorial'!L67/1000/1000</f>
        <v>1.9344000000000001</v>
      </c>
      <c r="L68" s="17">
        <f>'Datos Actividad'!$V64*'FE Sectorial'!$H67*'FE Sectorial'!M67/1000/1000</f>
        <v>38.688000000000002</v>
      </c>
      <c r="M68" s="17">
        <f>'Datos Actividad'!$V64*'FE Sectorial'!$H67*'FE Sectorial'!N67/1000/1000</f>
        <v>0.96720000000000006</v>
      </c>
      <c r="N68" s="17">
        <f>'Datos Actividad'!$V64*'FE Sectorial'!$H67*'FE Sectorial'!O67/1000/1000</f>
        <v>4.96</v>
      </c>
      <c r="O68" s="87">
        <f>IF(D68&lt;400,H68+I68*'Factores generales'!$M$41+J68*'Factores generales'!$N$41,I68*'Factores generales'!$M$41+J68*'Factores generales'!$N$41)</f>
        <v>36.173280000000005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Actividad'!$V65*'FE Sectorial'!$H68*'FE Sectorial'!I68*'FE Sectorial'!P68/1000</f>
        <v>424138.6333338783</v>
      </c>
      <c r="I69" s="17">
        <f>'Datos Actividad'!$V65*'FE Sectorial'!$H68*'FE Sectorial'!J68/1000/1000</f>
        <v>146.2547011496132</v>
      </c>
      <c r="J69" s="17">
        <f>'Datos Actividad'!$V65*'FE Sectorial'!$H68*'FE Sectorial'!K68/1000/1000</f>
        <v>19.500626819948426</v>
      </c>
      <c r="K69" s="17">
        <f>'Datos Actividad'!$V65*'FE Sectorial'!$H68*'FE Sectorial'!L68/1000/1000</f>
        <v>487.51567049871073</v>
      </c>
      <c r="L69" s="17">
        <f>'Datos Actividad'!$V65*'FE Sectorial'!$H68*'FE Sectorial'!M68/1000/1000</f>
        <v>19500.626819948426</v>
      </c>
      <c r="M69" s="17">
        <f>'Datos Actividad'!$V65*'FE Sectorial'!$H68*'FE Sectorial'!N68/1000/1000</f>
        <v>243.75783524935537</v>
      </c>
      <c r="N69" s="17">
        <f>'Datos Actividad'!$V65*'FE Sectorial'!$H68*'FE Sectorial'!O68/1000/1000</f>
        <v>0</v>
      </c>
      <c r="O69" s="87">
        <f>IF(D69&lt;400,H69+I69*'Factores generales'!$M$41+J69*'Factores generales'!$N$41,I69*'Factores generales'!$M$41+J69*'Factores generales'!$N$41)</f>
        <v>9116.5430383258899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9653925.9090903085</v>
      </c>
      <c r="I70" s="134">
        <f t="shared" si="16"/>
        <v>434.34648603411739</v>
      </c>
      <c r="J70" s="134">
        <f t="shared" si="16"/>
        <v>65.731264006171671</v>
      </c>
      <c r="K70" s="134">
        <f t="shared" si="16"/>
        <v>26757.027501976601</v>
      </c>
      <c r="L70" s="134">
        <f t="shared" si="16"/>
        <v>28342.592019110882</v>
      </c>
      <c r="M70" s="134">
        <f t="shared" si="16"/>
        <v>1240.0668761798747</v>
      </c>
      <c r="N70" s="134">
        <f t="shared" si="16"/>
        <v>6088.6628525577989</v>
      </c>
      <c r="O70" s="134">
        <f t="shared" si="16"/>
        <v>9683423.8771389388</v>
      </c>
    </row>
    <row r="71" spans="1:15" outlineLevel="1" x14ac:dyDescent="0.25">
      <c r="B71" s="1" t="s">
        <v>36</v>
      </c>
      <c r="G71" s="1"/>
      <c r="H71" s="15">
        <f>H72+H73+H74+H76</f>
        <v>2761459.5496784961</v>
      </c>
      <c r="I71" s="15">
        <f>SUM(I72:I76)</f>
        <v>135.56413249821011</v>
      </c>
      <c r="J71" s="15">
        <f t="shared" ref="J71:O71" si="17">SUM(J72:J76)</f>
        <v>23.413735631349976</v>
      </c>
      <c r="K71" s="15">
        <f t="shared" si="17"/>
        <v>7939.8795708891248</v>
      </c>
      <c r="L71" s="15">
        <f t="shared" si="17"/>
        <v>7938.8186883941271</v>
      </c>
      <c r="M71" s="15">
        <f t="shared" si="17"/>
        <v>453.02489297637641</v>
      </c>
      <c r="N71" s="15">
        <f t="shared" si="17"/>
        <v>1831.7569544111441</v>
      </c>
      <c r="O71" s="15">
        <f t="shared" si="17"/>
        <v>2771564.6545066773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Actividad'!$V68*'FE Sectorial'!$H71*'FE Sectorial'!I71*'FE Sectorial'!P71/1000</f>
        <v>2295545.1302092317</v>
      </c>
      <c r="I72" s="17">
        <f>'Datos Actividad'!$V68*'FE Sectorial'!$H71*'FE Sectorial'!J71/1000/1000</f>
        <v>41.124430176000004</v>
      </c>
      <c r="J72" s="17">
        <f>'Datos Actividad'!$V68*'FE Sectorial'!$H71*'FE Sectorial'!K71/1000/1000</f>
        <v>4.1124430175999995</v>
      </c>
      <c r="K72" s="17">
        <f>'Datos Actividad'!$V68*'FE Sectorial'!$H71*'FE Sectorial'!L71/1000/1000</f>
        <v>6168.6645263999999</v>
      </c>
      <c r="L72" s="17">
        <f>'Datos Actividad'!$V68*'FE Sectorial'!$H71*'FE Sectorial'!M71/1000/1000</f>
        <v>1233.7329052800001</v>
      </c>
      <c r="M72" s="17">
        <f>'Datos Actividad'!$V68*'FE Sectorial'!$H71*'FE Sectorial'!N71/1000/1000</f>
        <v>205.62215087999999</v>
      </c>
      <c r="N72" s="17">
        <f>'Datos Actividad'!$V68*'FE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2297683.600578384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Actividad'!$V69*'FE Sectorial'!$H72*'FE Sectorial'!I72*'FE Sectorial'!P72/1000</f>
        <v>0</v>
      </c>
      <c r="I73" s="17">
        <f>'Datos Actividad'!$V69*'FE Sectorial'!$H72*'FE Sectorial'!J72/1000/1000</f>
        <v>0</v>
      </c>
      <c r="J73" s="17">
        <f>'Datos Actividad'!$V69*'FE Sectorial'!$H72*'FE Sectorial'!K72/1000/1000</f>
        <v>0</v>
      </c>
      <c r="K73" s="17">
        <f>'Datos Actividad'!$V69*'FE Sectorial'!$H72*'FE Sectorial'!L72/1000/1000</f>
        <v>0</v>
      </c>
      <c r="L73" s="17">
        <f>'Datos Actividad'!$V69*'FE Sectorial'!$H72*'FE Sectorial'!M72/1000/1000</f>
        <v>0</v>
      </c>
      <c r="M73" s="17">
        <f>'Datos Actividad'!$V69*'FE Sectorial'!$H72*'FE Sectorial'!N72/1000/1000</f>
        <v>0</v>
      </c>
      <c r="N73" s="17">
        <f>'Datos Actividad'!$V69*'FE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Actividad'!$V70*'FE Sectorial'!$H73*'FE Sectorial'!I73*'FE Sectorial'!P73/1000</f>
        <v>362634.25164473685</v>
      </c>
      <c r="I74" s="17">
        <f>'Datos Actividad'!$V70*'FE Sectorial'!$H73*'FE Sectorial'!J73/1000/1000</f>
        <v>3.7952302631578947</v>
      </c>
      <c r="J74" s="17">
        <f>'Datos Actividad'!$V70*'FE Sectorial'!$H73*'FE Sectorial'!K73/1000/1000</f>
        <v>5.6928453947368425</v>
      </c>
      <c r="K74" s="17">
        <f>'Datos Actividad'!$V70*'FE Sectorial'!$H73*'FE Sectorial'!L73/1000/1000</f>
        <v>1138.5690789473683</v>
      </c>
      <c r="L74" s="17">
        <f>'Datos Actividad'!$V70*'FE Sectorial'!$H73*'FE Sectorial'!M73/1000/1000</f>
        <v>569.28453947368416</v>
      </c>
      <c r="M74" s="17">
        <f>'Datos Actividad'!$V70*'FE Sectorial'!$H73*'FE Sectorial'!N73/1000/1000</f>
        <v>75.90460526315789</v>
      </c>
      <c r="N74" s="17">
        <f>'Datos Actividad'!$V70*'FE Sectorial'!$H73*'FE Sectorial'!O73/1000/1000</f>
        <v>0</v>
      </c>
      <c r="O74" s="87">
        <f>IF(D74&lt;400,H74+I74*'Factores generales'!$M$41+J74*'Factores generales'!$N$41,I74*'Factores generales'!$M$41+J74*'Factores generales'!$N$41)</f>
        <v>364478.73355263157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Actividad'!$V71*'FE Sectorial'!$H74*'FE Sectorial'!I74*'FE Sectorial'!P74/1000</f>
        <v>290794.85217391298</v>
      </c>
      <c r="I75" s="17">
        <f>'Datos Actividad'!$V71*'FE Sectorial'!$H74*'FE Sectorial'!J74/1000/1000</f>
        <v>89.530434782608694</v>
      </c>
      <c r="J75" s="17">
        <f>'Datos Actividad'!$V71*'FE Sectorial'!$H74*'FE Sectorial'!K74/1000/1000</f>
        <v>11.937391304347825</v>
      </c>
      <c r="K75" s="17">
        <f>'Datos Actividad'!$V71*'FE Sectorial'!$H74*'FE Sectorial'!L74/1000/1000</f>
        <v>298.43478260869563</v>
      </c>
      <c r="L75" s="17">
        <f>'Datos Actividad'!$V71*'FE Sectorial'!$H74*'FE Sectorial'!M74/1000/1000</f>
        <v>5968.6956521739121</v>
      </c>
      <c r="M75" s="17">
        <f>'Datos Actividad'!$V71*'FE Sectorial'!$H74*'FE Sectorial'!N74/1000/1000</f>
        <v>149.21739130434781</v>
      </c>
      <c r="N75" s="17">
        <f>'Datos Actividad'!$V71*'FE Sectorial'!$H74*'FE Sectorial'!O74/1000/1000</f>
        <v>765.21739130434776</v>
      </c>
      <c r="O75" s="87">
        <f>IF(D75&lt;400,H75+I75*'Factores generales'!$M$41+J75*'Factores generales'!$N$41,I75*'Factores generales'!$M$41+J75*'Factores generales'!$N$41)</f>
        <v>5580.7304347826084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Actividad'!$V72*'FE Sectorial'!$H75*'FE Sectorial'!I75*'FE Sectorial'!P75/1000</f>
        <v>103280.16782452735</v>
      </c>
      <c r="I76" s="17">
        <f>'Datos Actividad'!$V72*'FE Sectorial'!$H75*'FE Sectorial'!J75/1000/1000</f>
        <v>1.1140372764435362</v>
      </c>
      <c r="J76" s="17">
        <f>'Datos Actividad'!$V72*'FE Sectorial'!$H75*'FE Sectorial'!K75/1000/1000</f>
        <v>1.6710559146653046</v>
      </c>
      <c r="K76" s="17">
        <f>'Datos Actividad'!$V72*'FE Sectorial'!$H75*'FE Sectorial'!L75/1000/1000</f>
        <v>334.2111829330608</v>
      </c>
      <c r="L76" s="17">
        <f>'Datos Actividad'!$V72*'FE Sectorial'!$H75*'FE Sectorial'!M75/1000/1000</f>
        <v>167.1055914665304</v>
      </c>
      <c r="M76" s="17">
        <f>'Datos Actividad'!$V72*'FE Sectorial'!$H75*'FE Sectorial'!N75/1000/1000</f>
        <v>22.280745528870725</v>
      </c>
      <c r="N76" s="17">
        <f>'Datos Actividad'!$V72*'FE Sectorial'!$H75*'FE Sectorial'!O75/1000/1000</f>
        <v>1066.5395631067963</v>
      </c>
      <c r="O76" s="87">
        <f>IF(D76&lt;400,H76+I76*'Factores generales'!$M$41+J76*'Factores generales'!$N$41,I76*'Factores generales'!$M$41+J76*'Factores generales'!$N$41)</f>
        <v>103821.58994087891</v>
      </c>
    </row>
    <row r="77" spans="1:15" outlineLevel="1" x14ac:dyDescent="0.25">
      <c r="B77" s="1" t="s">
        <v>35</v>
      </c>
      <c r="G77" s="1"/>
      <c r="H77" s="15">
        <f t="shared" ref="H77:O77" si="18">H78+H79</f>
        <v>154242.551930544</v>
      </c>
      <c r="I77" s="15">
        <f t="shared" si="18"/>
        <v>2.763237792</v>
      </c>
      <c r="J77" s="15">
        <f t="shared" si="18"/>
        <v>0.27632377920000001</v>
      </c>
      <c r="K77" s="15">
        <f t="shared" si="18"/>
        <v>414.48566879999998</v>
      </c>
      <c r="L77" s="15">
        <f t="shared" si="18"/>
        <v>82.897133760000003</v>
      </c>
      <c r="M77" s="15">
        <f t="shared" si="18"/>
        <v>13.81618896</v>
      </c>
      <c r="N77" s="15">
        <f t="shared" si="18"/>
        <v>0</v>
      </c>
      <c r="O77" s="15">
        <f t="shared" si="18"/>
        <v>154386.24029572797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Actividad'!$V74*'FE Sectorial'!$H77*'FE Sectorial'!I77*'FE Sectorial'!P77/1000</f>
        <v>154242.551930544</v>
      </c>
      <c r="I78" s="17">
        <f>'Datos Actividad'!$V74*'FE Sectorial'!$H77*'FE Sectorial'!J77/1000/1000</f>
        <v>2.763237792</v>
      </c>
      <c r="J78" s="17">
        <f>'Datos Actividad'!$V74*'FE Sectorial'!$H77*'FE Sectorial'!K77/1000/1000</f>
        <v>0.27632377920000001</v>
      </c>
      <c r="K78" s="17">
        <f>'Datos Actividad'!$V74*'FE Sectorial'!$H77*'FE Sectorial'!L77/1000/1000</f>
        <v>414.48566879999998</v>
      </c>
      <c r="L78" s="17">
        <f>'Datos Actividad'!$V74*'FE Sectorial'!$H77*'FE Sectorial'!M77/1000/1000</f>
        <v>82.897133760000003</v>
      </c>
      <c r="M78" s="17">
        <f>'Datos Actividad'!$V74*'FE Sectorial'!$H77*'FE Sectorial'!N77/1000/1000</f>
        <v>13.81618896</v>
      </c>
      <c r="N78" s="17">
        <f>'Datos Actividad'!$V74*'FE Sectorial'!$H77*'FE Sectorial'!O77/1000/1000</f>
        <v>0</v>
      </c>
      <c r="O78" s="87">
        <f>IF(D78&lt;400,H78+I78*'Factores generales'!$M$41+J78*'Factores generales'!$N$41,I78*'Factores generales'!$M$41+J78*'Factores generales'!$N$41)</f>
        <v>154386.24029572797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Actividad'!$V75*'FE Sectorial'!$H78*'FE Sectorial'!I78*'FE Sectorial'!P78/1000</f>
        <v>0</v>
      </c>
      <c r="I79" s="17">
        <f>'Datos Actividad'!$V75*'FE Sectorial'!$H78*'FE Sectorial'!J78/1000/1000</f>
        <v>0</v>
      </c>
      <c r="J79" s="17">
        <f>'Datos Actividad'!$V75*'FE Sectorial'!$H78*'FE Sectorial'!K78/1000/1000</f>
        <v>0</v>
      </c>
      <c r="K79" s="17">
        <f>'Datos Actividad'!$V75*'FE Sectorial'!$H78*'FE Sectorial'!L78/1000/1000</f>
        <v>0</v>
      </c>
      <c r="L79" s="17">
        <f>'Datos Actividad'!$V75*'FE Sectorial'!$H78*'FE Sectorial'!M78/1000/1000</f>
        <v>0</v>
      </c>
      <c r="M79" s="17">
        <f>'Datos Actividad'!$V75*'FE Sectorial'!$H78*'FE Sectorial'!N78/1000/1000</f>
        <v>0</v>
      </c>
      <c r="N79" s="17">
        <f>'Datos Actividad'!$V75*'FE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69750.706638888005</v>
      </c>
      <c r="I80" s="15">
        <f>SUM(I81:I85)</f>
        <v>132.28272763160314</v>
      </c>
      <c r="J80" s="15">
        <f t="shared" ref="J80:O80" si="19">SUM(J81:J85)</f>
        <v>17.596044484747086</v>
      </c>
      <c r="K80" s="15">
        <f t="shared" si="19"/>
        <v>624.21356975867707</v>
      </c>
      <c r="L80" s="15">
        <f t="shared" si="19"/>
        <v>17508.574165867085</v>
      </c>
      <c r="M80" s="15">
        <f t="shared" si="19"/>
        <v>224.63646599933853</v>
      </c>
      <c r="N80" s="15">
        <f t="shared" si="19"/>
        <v>0</v>
      </c>
      <c r="O80" s="15">
        <f t="shared" si="19"/>
        <v>77983.417709423258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Actividad'!$V77*'FE Sectorial'!$H80*'FE Sectorial'!I80*'FE Sectorial'!P80/1000</f>
        <v>69750.706638888005</v>
      </c>
      <c r="I81" s="17">
        <f>'Datos Actividad'!$V77*'FE Sectorial'!$H80*'FE Sectorial'!J80/1000/1000</f>
        <v>1.2495759839999998</v>
      </c>
      <c r="J81" s="17">
        <f>'Datos Actividad'!$V77*'FE Sectorial'!$H80*'FE Sectorial'!K80/1000/1000</f>
        <v>0.12495759840000001</v>
      </c>
      <c r="K81" s="17">
        <f>'Datos Actividad'!$V77*'FE Sectorial'!$H80*'FE Sectorial'!L80/1000/1000</f>
        <v>187.43639759999999</v>
      </c>
      <c r="L81" s="17">
        <f>'Datos Actividad'!$V77*'FE Sectorial'!$H80*'FE Sectorial'!M80/1000/1000</f>
        <v>37.487279519999994</v>
      </c>
      <c r="M81" s="17">
        <f>'Datos Actividad'!$V77*'FE Sectorial'!$H80*'FE Sectorial'!N80/1000/1000</f>
        <v>6.2478799199999999</v>
      </c>
      <c r="N81" s="17">
        <f>'Datos Actividad'!$V77*'FE Sectorial'!$H80*'FE Sectorial'!O80/1000/1000</f>
        <v>0</v>
      </c>
      <c r="O81" s="87">
        <f>IF(D81&lt;400,H81+I81*'Factores generales'!$M$41+J81*'Factores generales'!$N$41,I81*'Factores generales'!$M$41+J81*'Factores generales'!$N$41)</f>
        <v>69815.684590056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Actividad'!$V78*'FE Sectorial'!$H81*'FE Sectorial'!I81*'FE Sectorial'!P81/1000</f>
        <v>0</v>
      </c>
      <c r="I82" s="17">
        <f>'Datos Actividad'!$V78*'FE Sectorial'!$H81*'FE Sectorial'!J81/1000/1000</f>
        <v>0</v>
      </c>
      <c r="J82" s="17">
        <f>'Datos Actividad'!$V78*'FE Sectorial'!$H81*'FE Sectorial'!K81/1000/1000</f>
        <v>0</v>
      </c>
      <c r="K82" s="17">
        <f>'Datos Actividad'!$V78*'FE Sectorial'!$H81*'FE Sectorial'!L81/1000/1000</f>
        <v>0</v>
      </c>
      <c r="L82" s="17">
        <f>'Datos Actividad'!$V78*'FE Sectorial'!$H81*'FE Sectorial'!M81/1000/1000</f>
        <v>0</v>
      </c>
      <c r="M82" s="17">
        <f>'Datos Actividad'!$V78*'FE Sectorial'!$H81*'FE Sectorial'!N81/1000/1000</f>
        <v>0</v>
      </c>
      <c r="N82" s="17">
        <f>'Datos Actividad'!$V78*'FE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Actividad'!$V79*'FE Sectorial'!$H82*'FE Sectorial'!I82*'FE Sectorial'!P82/1000</f>
        <v>0</v>
      </c>
      <c r="I83" s="95">
        <f>'Datos Actividad'!$V79*'FE Sectorial'!$H82*'FE Sectorial'!J82/1000/1000</f>
        <v>0</v>
      </c>
      <c r="J83" s="17">
        <f>'Datos Actividad'!$V79*'FE Sectorial'!$H82*'FE Sectorial'!K82/1000/1000</f>
        <v>0</v>
      </c>
      <c r="K83" s="17">
        <f>'Datos Actividad'!$V79*'FE Sectorial'!$H82*'FE Sectorial'!L82/1000/1000</f>
        <v>0</v>
      </c>
      <c r="L83" s="17">
        <f>'Datos Actividad'!$V79*'FE Sectorial'!$H82*'FE Sectorial'!M82/1000/1000</f>
        <v>0</v>
      </c>
      <c r="M83" s="17">
        <f>'Datos Actividad'!$V79*'FE Sectorial'!$H82*'FE Sectorial'!N82/1000/1000</f>
        <v>0</v>
      </c>
      <c r="N83" s="17">
        <f>'Datos Actividad'!$V79*'FE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Actividad'!$V80*'FE Sectorial'!$H83*'FE Sectorial'!I83*'FE Sectorial'!P83/1000</f>
        <v>0</v>
      </c>
      <c r="I84" s="95">
        <f>'Datos Actividad'!$V80*'FE Sectorial'!$H83*'FE Sectorial'!J83/1000/1000</f>
        <v>0</v>
      </c>
      <c r="J84" s="17">
        <f>'Datos Actividad'!$V80*'FE Sectorial'!$H83*'FE Sectorial'!K83/1000/1000</f>
        <v>0</v>
      </c>
      <c r="K84" s="17">
        <f>'Datos Actividad'!$V80*'FE Sectorial'!$H83*'FE Sectorial'!L83/1000/1000</f>
        <v>0</v>
      </c>
      <c r="L84" s="17">
        <f>'Datos Actividad'!$V80*'FE Sectorial'!$H83*'FE Sectorial'!M83/1000/1000</f>
        <v>0</v>
      </c>
      <c r="M84" s="17">
        <f>'Datos Actividad'!$V80*'FE Sectorial'!$H83*'FE Sectorial'!N83/1000/1000</f>
        <v>0</v>
      </c>
      <c r="N84" s="17">
        <f>'Datos Actividad'!$V80*'FE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Actividad'!$V81*'FE Sectorial'!$H84*'FE Sectorial'!I84*'FE Sectorial'!P84/1000</f>
        <v>379996.13977804908</v>
      </c>
      <c r="I85" s="95">
        <f>'Datos Actividad'!$V81*'FE Sectorial'!$H84*'FE Sectorial'!J84/1000/1000</f>
        <v>131.03315164760315</v>
      </c>
      <c r="J85" s="17">
        <f>'Datos Actividad'!$V81*'FE Sectorial'!$H84*'FE Sectorial'!K84/1000/1000</f>
        <v>17.471086886347084</v>
      </c>
      <c r="K85" s="17">
        <f>'Datos Actividad'!$V81*'FE Sectorial'!$H84*'FE Sectorial'!L84/1000/1000</f>
        <v>436.77717215867705</v>
      </c>
      <c r="L85" s="17">
        <f>'Datos Actividad'!$V81*'FE Sectorial'!$H84*'FE Sectorial'!M84/1000/1000</f>
        <v>17471.086886347086</v>
      </c>
      <c r="M85" s="17">
        <f>'Datos Actividad'!$V81*'FE Sectorial'!$H84*'FE Sectorial'!N84/1000/1000</f>
        <v>218.38858607933852</v>
      </c>
      <c r="N85" s="17">
        <f>'Datos Actividad'!$V81*'FE Sectorial'!$H84*'FE Sectorial'!O84/1000/1000</f>
        <v>0</v>
      </c>
      <c r="O85" s="87">
        <f>IF(D85&lt;400,H85+I85*'Factores generales'!$M$41+J85*'Factores generales'!$N$41,I85*'Factores generales'!$M$41+J85*'Factores generales'!$N$41)</f>
        <v>8167.7331193672617</v>
      </c>
    </row>
    <row r="86" spans="2:15" outlineLevel="1" x14ac:dyDescent="0.25">
      <c r="B86" s="1" t="s">
        <v>38</v>
      </c>
      <c r="G86" s="1"/>
      <c r="H86" s="15">
        <f>H87+H88</f>
        <v>174248.658165384</v>
      </c>
      <c r="I86" s="15">
        <f>I87+I88+I89</f>
        <v>3.5905009601494653</v>
      </c>
      <c r="J86" s="15">
        <f t="shared" ref="J86:O86" si="20">J87+J88+J89</f>
        <v>0.37467863095326198</v>
      </c>
      <c r="K86" s="15">
        <f t="shared" si="20"/>
        <v>469.80959029383155</v>
      </c>
      <c r="L86" s="15">
        <f t="shared" si="20"/>
        <v>156.16348711326199</v>
      </c>
      <c r="M86" s="15">
        <f t="shared" si="20"/>
        <v>16.389651306915773</v>
      </c>
      <c r="N86" s="15">
        <f t="shared" si="20"/>
        <v>0</v>
      </c>
      <c r="O86" s="15">
        <f t="shared" si="20"/>
        <v>174440.20906114264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Actividad'!$V83*'FE Sectorial'!$H86*'FE Sectorial'!I86*'FE Sectorial'!P86/1000</f>
        <v>174248.658165384</v>
      </c>
      <c r="I87" s="17">
        <f>'Datos Actividad'!$V83*'FE Sectorial'!$H86*'FE Sectorial'!J86/1000/1000</f>
        <v>3.1216449120000003</v>
      </c>
      <c r="J87" s="17">
        <f>'Datos Actividad'!$V83*'FE Sectorial'!$H86*'FE Sectorial'!K86/1000/1000</f>
        <v>0.3121644912</v>
      </c>
      <c r="K87" s="17">
        <f>'Datos Actividad'!$V83*'FE Sectorial'!$H86*'FE Sectorial'!L86/1000/1000</f>
        <v>468.24673680000001</v>
      </c>
      <c r="L87" s="17">
        <f>'Datos Actividad'!$V83*'FE Sectorial'!$H86*'FE Sectorial'!M86/1000/1000</f>
        <v>93.649347359999993</v>
      </c>
      <c r="M87" s="17">
        <f>'Datos Actividad'!$V83*'FE Sectorial'!$H86*'FE Sectorial'!N86/1000/1000</f>
        <v>15.60822456</v>
      </c>
      <c r="N87" s="17">
        <f>'Datos Actividad'!$V83*'FE Sectorial'!$H86*'FE Sectorial'!O86/1000/1000</f>
        <v>0</v>
      </c>
      <c r="O87" s="87">
        <f>IF(D87&lt;400,H87+I87*'Factores generales'!$M$41+J87*'Factores generales'!$N$41,I87*'Factores generales'!$M$41+J87*'Factores generales'!$N$41)</f>
        <v>174410.98370080799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Actividad'!$V84*'FE Sectorial'!$H87*'FE Sectorial'!I87*'FE Sectorial'!P87/1000</f>
        <v>0</v>
      </c>
      <c r="I88" s="17">
        <f>'Datos Actividad'!$V84*'FE Sectorial'!$H87*'FE Sectorial'!J87/1000/1000</f>
        <v>0</v>
      </c>
      <c r="J88" s="17">
        <f>'Datos Actividad'!$V84*'FE Sectorial'!$H87*'FE Sectorial'!K87/1000/1000</f>
        <v>0</v>
      </c>
      <c r="K88" s="17">
        <f>'Datos Actividad'!$V84*'FE Sectorial'!$H87*'FE Sectorial'!L87/1000/1000</f>
        <v>0</v>
      </c>
      <c r="L88" s="17">
        <f>'Datos Actividad'!$V84*'FE Sectorial'!$H87*'FE Sectorial'!M87/1000/1000</f>
        <v>0</v>
      </c>
      <c r="M88" s="17">
        <f>'Datos Actividad'!$V84*'FE Sectorial'!$H87*'FE Sectorial'!N87/1000/1000</f>
        <v>0</v>
      </c>
      <c r="N88" s="17">
        <f>'Datos Actividad'!$V84*'FE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Actividad'!$V85*'FE Sectorial'!$H88*'FE Sectorial'!I88*'FE Sectorial'!P88/1000</f>
        <v>1359.6825396334484</v>
      </c>
      <c r="I89" s="95">
        <f>'Datos Actividad'!$V85*'FE Sectorial'!$H88*'FE Sectorial'!J88/1000/1000</f>
        <v>0.46885604814946491</v>
      </c>
      <c r="J89" s="17">
        <f>'Datos Actividad'!$V85*'FE Sectorial'!$H88*'FE Sectorial'!K88/1000/1000</f>
        <v>6.2514139753261991E-2</v>
      </c>
      <c r="K89" s="17">
        <f>'Datos Actividad'!$V85*'FE Sectorial'!$H88*'FE Sectorial'!L88/1000/1000</f>
        <v>1.5628534938315499</v>
      </c>
      <c r="L89" s="17">
        <f>'Datos Actividad'!$V85*'FE Sectorial'!$H88*'FE Sectorial'!M88/1000/1000</f>
        <v>62.514139753261993</v>
      </c>
      <c r="M89" s="17">
        <f>'Datos Actividad'!$V85*'FE Sectorial'!$H88*'FE Sectorial'!N88/1000/1000</f>
        <v>0.78142674691577496</v>
      </c>
      <c r="N89" s="17">
        <f>'Datos Actividad'!$V85*'FE Sectorial'!$H88*'FE Sectorial'!O88/1000/1000</f>
        <v>0</v>
      </c>
      <c r="O89" s="87">
        <f>IF(D89&lt;400,H89+I89*'Factores generales'!$M$41+J89*'Factores generales'!$N$41,I89*'Factores generales'!$M$41+J89*'Factores generales'!$N$41)</f>
        <v>29.225360334649977</v>
      </c>
    </row>
    <row r="90" spans="2:15" outlineLevel="1" x14ac:dyDescent="0.25">
      <c r="B90" s="1" t="s">
        <v>39</v>
      </c>
      <c r="G90" s="1"/>
      <c r="H90" s="15">
        <f t="shared" ref="H90:O90" si="21">H91+H92+H93</f>
        <v>4310650.3076952482</v>
      </c>
      <c r="I90" s="15">
        <f t="shared" si="21"/>
        <v>77.224810464000001</v>
      </c>
      <c r="J90" s="15">
        <f t="shared" si="21"/>
        <v>7.7224810464000004</v>
      </c>
      <c r="K90" s="15">
        <f t="shared" si="21"/>
        <v>11583.7215696</v>
      </c>
      <c r="L90" s="15">
        <f t="shared" si="21"/>
        <v>2316.74431392</v>
      </c>
      <c r="M90" s="15">
        <f t="shared" si="21"/>
        <v>386.12405232000003</v>
      </c>
      <c r="N90" s="15">
        <f t="shared" si="21"/>
        <v>0</v>
      </c>
      <c r="O90" s="15">
        <f t="shared" si="21"/>
        <v>4314665.9978393763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Actividad'!$V87*'FE Sectorial'!$H90*'FE Sectorial'!I90*'FE Sectorial'!P90/1000</f>
        <v>4310650.3076952482</v>
      </c>
      <c r="I91" s="17">
        <f>'Datos Actividad'!$V87*'FE Sectorial'!$H90*'FE Sectorial'!J90/1000/1000</f>
        <v>77.224810464000001</v>
      </c>
      <c r="J91" s="17">
        <f>'Datos Actividad'!$V87*'FE Sectorial'!$H90*'FE Sectorial'!K90/1000/1000</f>
        <v>7.7224810464000004</v>
      </c>
      <c r="K91" s="17">
        <f>'Datos Actividad'!$V87*'FE Sectorial'!$H90*'FE Sectorial'!L90/1000/1000</f>
        <v>11583.7215696</v>
      </c>
      <c r="L91" s="17">
        <f>'Datos Actividad'!$V87*'FE Sectorial'!$H90*'FE Sectorial'!M90/1000/1000</f>
        <v>2316.74431392</v>
      </c>
      <c r="M91" s="17">
        <f>'Datos Actividad'!$V87*'FE Sectorial'!$H90*'FE Sectorial'!N90/1000/1000</f>
        <v>386.12405232000003</v>
      </c>
      <c r="N91" s="17">
        <f>'Datos Actividad'!$V87*'FE Sectorial'!$H90*'FE Sectorial'!O90/1000/1000</f>
        <v>0</v>
      </c>
      <c r="O91" s="87">
        <f>IF(D91&lt;400,H91+I91*'Factores generales'!$M$41+J91*'Factores generales'!$N$41,I91*'Factores generales'!$M$41+J91*'Factores generales'!$N$41)</f>
        <v>4314665.9978393763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Actividad'!$V88*'FE Sectorial'!$H91*'FE Sectorial'!I91*'FE Sectorial'!P91/1000</f>
        <v>0</v>
      </c>
      <c r="I92" s="17">
        <f>'Datos Actividad'!$V88*'FE Sectorial'!$H91*'FE Sectorial'!J91/1000/1000</f>
        <v>0</v>
      </c>
      <c r="J92" s="17">
        <f>'Datos Actividad'!$V88*'FE Sectorial'!$H91*'FE Sectorial'!K91/1000/1000</f>
        <v>0</v>
      </c>
      <c r="K92" s="17">
        <f>'Datos Actividad'!$V88*'FE Sectorial'!$H91*'FE Sectorial'!L91/1000/1000</f>
        <v>0</v>
      </c>
      <c r="L92" s="17">
        <f>'Datos Actividad'!$V88*'FE Sectorial'!$H91*'FE Sectorial'!M91/1000/1000</f>
        <v>0</v>
      </c>
      <c r="M92" s="17">
        <f>'Datos Actividad'!$V88*'FE Sectorial'!$H91*'FE Sectorial'!N91/1000/1000</f>
        <v>0</v>
      </c>
      <c r="N92" s="17">
        <f>'Datos Actividad'!$V88*'FE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Actividad'!$V89*'FE Sectorial'!$H92*'FE Sectorial'!I92*'FE Sectorial'!P92/1000</f>
        <v>0</v>
      </c>
      <c r="I93" s="17">
        <f>'Datos Actividad'!$V89*'FE Sectorial'!$H92*'FE Sectorial'!J92/1000/1000</f>
        <v>0</v>
      </c>
      <c r="J93" s="17">
        <f>'Datos Actividad'!$V89*'FE Sectorial'!$H92*'FE Sectorial'!K92/1000/1000</f>
        <v>0</v>
      </c>
      <c r="K93" s="17">
        <f>'Datos Actividad'!$V89*'FE Sectorial'!$H92*'FE Sectorial'!L92/1000/1000</f>
        <v>0</v>
      </c>
      <c r="L93" s="17">
        <f>'Datos Actividad'!$V89*'FE Sectorial'!$H92*'FE Sectorial'!M92/1000/1000</f>
        <v>0</v>
      </c>
      <c r="M93" s="17">
        <f>'Datos Actividad'!$V89*'FE Sectorial'!$H92*'FE Sectorial'!N92/1000/1000</f>
        <v>0</v>
      </c>
      <c r="N93" s="17">
        <f>'Datos Actividad'!$V89*'FE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2183574.1349817473</v>
      </c>
      <c r="I94" s="15">
        <f t="shared" ref="I94:O94" si="22">SUM(I95:I100)</f>
        <v>82.921076688154656</v>
      </c>
      <c r="J94" s="15">
        <f t="shared" si="22"/>
        <v>16.348000433521342</v>
      </c>
      <c r="K94" s="15">
        <f t="shared" si="22"/>
        <v>5724.9175326349678</v>
      </c>
      <c r="L94" s="15">
        <f t="shared" si="22"/>
        <v>339.39423005640589</v>
      </c>
      <c r="M94" s="15">
        <f t="shared" si="22"/>
        <v>146.07562461724405</v>
      </c>
      <c r="N94" s="15">
        <f t="shared" si="22"/>
        <v>4256.9058981466551</v>
      </c>
      <c r="O94" s="15">
        <f t="shared" si="22"/>
        <v>2190383.3577265898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Actividad'!$V91*'FE Sectorial'!$H94*'FE Sectorial'!I94*'FE Sectorial'!P94/1000</f>
        <v>0</v>
      </c>
      <c r="I95" s="17">
        <f>'Datos Actividad'!$V91*'FE Sectorial'!$H94*'FE Sectorial'!J94/1000/1000</f>
        <v>0</v>
      </c>
      <c r="J95" s="17">
        <f>'Datos Actividad'!$V91*'FE Sectorial'!$H94*'FE Sectorial'!K94/1000/1000</f>
        <v>0</v>
      </c>
      <c r="K95" s="17">
        <f>'Datos Actividad'!$V91*'FE Sectorial'!$H94*'FE Sectorial'!L94/1000/1000</f>
        <v>0</v>
      </c>
      <c r="L95" s="17">
        <f>'Datos Actividad'!$V91*'FE Sectorial'!$H94*'FE Sectorial'!M94/1000/1000</f>
        <v>0</v>
      </c>
      <c r="M95" s="17">
        <f>'Datos Actividad'!$V91*'FE Sectorial'!$H94*'FE Sectorial'!N94/1000/1000</f>
        <v>0</v>
      </c>
      <c r="N95" s="17">
        <f>'Datos Actividad'!$V91*'FE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Actividad'!$V92*'FE Sectorial'!$H95*'FE Sectorial'!I95*'FE Sectorial'!P95/1000</f>
        <v>147561.08844821903</v>
      </c>
      <c r="I96" s="17">
        <f>'Datos Actividad'!$V92*'FE Sectorial'!$H95*'FE Sectorial'!J95/1000/1000</f>
        <v>2.3621490410958876</v>
      </c>
      <c r="J96" s="17">
        <f>'Datos Actividad'!$V92*'FE Sectorial'!$H95*'FE Sectorial'!K95/1000/1000</f>
        <v>0.23621490410958879</v>
      </c>
      <c r="K96" s="17">
        <f>'Datos Actividad'!$V92*'FE Sectorial'!$H95*'FE Sectorial'!L95/1000/1000</f>
        <v>354.32235616438317</v>
      </c>
      <c r="L96" s="17">
        <f>'Datos Actividad'!$V92*'FE Sectorial'!$H95*'FE Sectorial'!M95/1000/1000</f>
        <v>70.864471232876639</v>
      </c>
      <c r="M96" s="17">
        <f>'Datos Actividad'!$V92*'FE Sectorial'!$H95*'FE Sectorial'!N95/1000/1000</f>
        <v>11.810745205479439</v>
      </c>
      <c r="N96" s="17">
        <f>'Datos Actividad'!$V92*'FE Sectorial'!$H95*'FE Sectorial'!O95/1000/1000</f>
        <v>9.9879452054794431</v>
      </c>
      <c r="O96" s="87">
        <f>IF(D96&lt;400,H96+I96*'Factores generales'!$M$41+J96*'Factores generales'!$N$41,I96*'Factores generales'!$M$41+J96*'Factores generales'!$N$41)</f>
        <v>147683.92019835603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Actividad'!$V93*'FE Sectorial'!$H96*'FE Sectorial'!I96*'FE Sectorial'!P96/1000</f>
        <v>485536.50969352812</v>
      </c>
      <c r="I97" s="17">
        <f>'Datos Actividad'!$V93*'FE Sectorial'!$H96*'FE Sectorial'!J96/1000/1000</f>
        <v>19.855907647058771</v>
      </c>
      <c r="J97" s="17">
        <f>'Datos Actividad'!$V93*'FE Sectorial'!$H96*'FE Sectorial'!K96/1000/1000</f>
        <v>3.9711815294117541</v>
      </c>
      <c r="K97" s="17">
        <f>'Datos Actividad'!$V93*'FE Sectorial'!$H96*'FE Sectorial'!L96/1000/1000</f>
        <v>1323.7271764705849</v>
      </c>
      <c r="L97" s="17">
        <f>'Datos Actividad'!$V93*'FE Sectorial'!$H96*'FE Sectorial'!M96/1000/1000</f>
        <v>66.186358823529247</v>
      </c>
      <c r="M97" s="17">
        <f>'Datos Actividad'!$V93*'FE Sectorial'!$H96*'FE Sectorial'!N96/1000/1000</f>
        <v>33.093179411764623</v>
      </c>
      <c r="N97" s="17">
        <f>'Datos Actividad'!$V93*'FE Sectorial'!$H96*'FE Sectorial'!O96/1000/1000</f>
        <v>240.11795294117584</v>
      </c>
      <c r="O97" s="87">
        <f>IF(D97&lt;400,H97+I97*'Factores generales'!$M$41+J97*'Factores generales'!$N$41,I97*'Factores generales'!$M$41+J97*'Factores generales'!$N$41)</f>
        <v>487184.55002823396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Actividad'!$V94*'FE Sectorial'!$H97*'FE Sectorial'!I97*'FE Sectorial'!P97/1000</f>
        <v>1550476.53684</v>
      </c>
      <c r="I98" s="17">
        <f>'Datos Actividad'!$V94*'FE Sectorial'!$H97*'FE Sectorial'!J97/1000/1000</f>
        <v>60.703019999999995</v>
      </c>
      <c r="J98" s="17">
        <f>'Datos Actividad'!$V94*'FE Sectorial'!$H97*'FE Sectorial'!K97/1000/1000</f>
        <v>12.140604</v>
      </c>
      <c r="K98" s="17">
        <f>'Datos Actividad'!$V94*'FE Sectorial'!$H97*'FE Sectorial'!L97/1000/1000</f>
        <v>4046.8679999999999</v>
      </c>
      <c r="L98" s="17">
        <f>'Datos Actividad'!$V94*'FE Sectorial'!$H97*'FE Sectorial'!M97/1000/1000</f>
        <v>202.3434</v>
      </c>
      <c r="M98" s="17">
        <f>'Datos Actividad'!$V94*'FE Sectorial'!$H97*'FE Sectorial'!N97/1000/1000</f>
        <v>101.1717</v>
      </c>
      <c r="N98" s="17">
        <f>'Datos Actividad'!$V94*'FE Sectorial'!$H97*'FE Sectorial'!O97/1000/1000</f>
        <v>4006.8</v>
      </c>
      <c r="O98" s="87">
        <f>IF(D98&lt;400,H98+I98*'Factores generales'!$M$41+J98*'Factores generales'!$N$41,I98*'Factores generales'!$M$41+J98*'Factores generales'!$N$41)</f>
        <v>1555514.8875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Actividad'!$V95*'FE Sectorial'!$H98*'FE Sectorial'!I98*'FE Sectorial'!P98/1000</f>
        <v>0</v>
      </c>
      <c r="I99" s="17">
        <f>'Datos Actividad'!$V95*'FE Sectorial'!$H98*'FE Sectorial'!J98/1000/1000</f>
        <v>0</v>
      </c>
      <c r="J99" s="17">
        <f>'Datos Actividad'!$V95*'FE Sectorial'!$H98*'FE Sectorial'!K98/1000/1000</f>
        <v>0</v>
      </c>
      <c r="K99" s="17">
        <f>'Datos Actividad'!$V95*'FE Sectorial'!$H98*'FE Sectorial'!L98/1000/1000</f>
        <v>0</v>
      </c>
      <c r="L99" s="17">
        <f>'Datos Actividad'!$V95*'FE Sectorial'!$H98*'FE Sectorial'!M98/1000/1000</f>
        <v>0</v>
      </c>
      <c r="M99" s="17">
        <f>'Datos Actividad'!$V95*'FE Sectorial'!$H98*'FE Sectorial'!N98/1000/1000</f>
        <v>0</v>
      </c>
      <c r="N99" s="17">
        <f>'Datos Actividad'!$V95*'FE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Actividad'!$V96*'FE Sectorial'!$H99*'FE Sectorial'!I99*'FE Sectorial'!P99/1000</f>
        <v>0</v>
      </c>
      <c r="I100" s="17">
        <f>'Datos Actividad'!$V96*'FE Sectorial'!$H99*'FE Sectorial'!J99/1000/1000</f>
        <v>0</v>
      </c>
      <c r="J100" s="17">
        <f>'Datos Actividad'!$V96*'FE Sectorial'!$H99*'FE Sectorial'!K99/1000/1000</f>
        <v>0</v>
      </c>
      <c r="K100" s="17">
        <f>'Datos Actividad'!$V96*'FE Sectorial'!$H99*'FE Sectorial'!L99/1000/1000</f>
        <v>0</v>
      </c>
      <c r="L100" s="17">
        <f>'Datos Actividad'!$V96*'FE Sectorial'!$H99*'FE Sectorial'!M99/1000/1000</f>
        <v>0</v>
      </c>
      <c r="M100" s="17">
        <f>'Datos Actividad'!$V96*'FE Sectorial'!$H99*'FE Sectorial'!N99/1000/1000</f>
        <v>0</v>
      </c>
      <c r="N100" s="17">
        <f>'Datos Actividad'!$V96*'FE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37862616.859596983</v>
      </c>
      <c r="I101" s="129">
        <f t="shared" si="23"/>
        <v>9623.8703763773574</v>
      </c>
      <c r="J101" s="129">
        <f t="shared" si="23"/>
        <v>2966.9926322565748</v>
      </c>
      <c r="K101" s="129">
        <f t="shared" si="23"/>
        <v>363293.27449539653</v>
      </c>
      <c r="L101" s="129">
        <f t="shared" si="23"/>
        <v>1995553.9870650857</v>
      </c>
      <c r="M101" s="129">
        <f t="shared" si="23"/>
        <v>375379.23512129666</v>
      </c>
      <c r="N101" s="129">
        <f t="shared" si="23"/>
        <v>10836.775358153107</v>
      </c>
      <c r="O101" s="129">
        <f t="shared" si="23"/>
        <v>38984485.853500448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1061695.7422572514</v>
      </c>
      <c r="I102" s="134">
        <f t="shared" ref="I102:O102" si="24">I105</f>
        <v>7.4994401515663736</v>
      </c>
      <c r="J102" s="134">
        <f t="shared" si="24"/>
        <v>29.997760606265494</v>
      </c>
      <c r="K102" s="134">
        <f t="shared" si="24"/>
        <v>3749.720075783187</v>
      </c>
      <c r="L102" s="134">
        <f t="shared" si="24"/>
        <v>1499.8880303132748</v>
      </c>
      <c r="M102" s="134">
        <f t="shared" si="24"/>
        <v>749.94401515663742</v>
      </c>
      <c r="N102" s="134">
        <f t="shared" si="24"/>
        <v>680.22132894026072</v>
      </c>
      <c r="O102" s="134">
        <f t="shared" si="24"/>
        <v>1071152.5362883767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2060724.992482366</v>
      </c>
      <c r="I103" s="15">
        <f t="shared" ref="I103:O103" si="25">I104</f>
        <v>14.556226548579263</v>
      </c>
      <c r="J103" s="15">
        <f t="shared" si="25"/>
        <v>58.22490619431705</v>
      </c>
      <c r="K103" s="15">
        <f t="shared" si="25"/>
        <v>7278.1132742896316</v>
      </c>
      <c r="L103" s="15">
        <f t="shared" si="25"/>
        <v>2911.2453097158527</v>
      </c>
      <c r="M103" s="15">
        <f t="shared" si="25"/>
        <v>1455.6226548579264</v>
      </c>
      <c r="N103" s="15">
        <f t="shared" si="25"/>
        <v>1320.2926574675066</v>
      </c>
      <c r="O103" s="15">
        <f t="shared" si="25"/>
        <v>2079080.3941601245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Actividad'!$V100*'FE Sectorial'!$H103*'FE Sectorial'!I103*'FE Sectorial'!P103/1000</f>
        <v>2060724.992482366</v>
      </c>
      <c r="I104" s="17">
        <f>'Datos Actividad'!$V100*'FE Sectorial'!$H103*'FE Sectorial'!J103/1000/1000</f>
        <v>14.556226548579263</v>
      </c>
      <c r="J104" s="17">
        <f>'Datos Actividad'!$V100*'FE Sectorial'!$H103*'FE Sectorial'!K103/1000/1000</f>
        <v>58.22490619431705</v>
      </c>
      <c r="K104" s="17">
        <f>'Datos Actividad'!$V100*'FE Sectorial'!$H103*'FE Sectorial'!L103/1000/1000</f>
        <v>7278.1132742896316</v>
      </c>
      <c r="L104" s="17">
        <f>'Datos Actividad'!$V100*'FE Sectorial'!$H103*'FE Sectorial'!M103/1000/1000</f>
        <v>2911.2453097158527</v>
      </c>
      <c r="M104" s="17">
        <f>'Datos Actividad'!$V100*'FE Sectorial'!$H103*'FE Sectorial'!N103/1000/1000</f>
        <v>1455.6226548579264</v>
      </c>
      <c r="N104" s="17">
        <f>'Datos Actividad'!$V100*'FE Sectorial'!$H103*'FE Sectorial'!O103/1000/1000</f>
        <v>1320.2926574675066</v>
      </c>
      <c r="O104" s="87">
        <f>IF(D104&lt;400,H104+I104*'Factores generales'!$M$41+J104*'Factores generales'!$N$41,I104*'Factores generales'!$M$41+J104*'Factores generales'!$N$41)</f>
        <v>2079080.3941601245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1061695.7422572514</v>
      </c>
      <c r="I105" s="15">
        <f t="shared" ref="I105:O105" si="26">I106</f>
        <v>7.4994401515663736</v>
      </c>
      <c r="J105" s="15">
        <f t="shared" si="26"/>
        <v>29.997760606265494</v>
      </c>
      <c r="K105" s="15">
        <f t="shared" si="26"/>
        <v>3749.720075783187</v>
      </c>
      <c r="L105" s="15">
        <f t="shared" si="26"/>
        <v>1499.8880303132748</v>
      </c>
      <c r="M105" s="15">
        <f t="shared" si="26"/>
        <v>749.94401515663742</v>
      </c>
      <c r="N105" s="15">
        <f t="shared" si="26"/>
        <v>680.22132894026072</v>
      </c>
      <c r="O105" s="15">
        <f t="shared" si="26"/>
        <v>1071152.5362883767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Actividad'!$V102*'FE Sectorial'!$H105*'FE Sectorial'!I105*'FE Sectorial'!P105/1000</f>
        <v>1061695.7422572514</v>
      </c>
      <c r="I106" s="17">
        <f>'Datos Actividad'!$V102*'FE Sectorial'!$H105*'FE Sectorial'!J105/1000/1000</f>
        <v>7.4994401515663736</v>
      </c>
      <c r="J106" s="17">
        <f>'Datos Actividad'!$V102*'FE Sectorial'!$H105*'FE Sectorial'!K105/1000/1000</f>
        <v>29.997760606265494</v>
      </c>
      <c r="K106" s="17">
        <f>'Datos Actividad'!$V102*'FE Sectorial'!$H105*'FE Sectorial'!L105/1000/1000</f>
        <v>3749.720075783187</v>
      </c>
      <c r="L106" s="17">
        <f>'Datos Actividad'!$V102*'FE Sectorial'!$H105*'FE Sectorial'!M105/1000/1000</f>
        <v>1499.8880303132748</v>
      </c>
      <c r="M106" s="17">
        <f>'Datos Actividad'!$V102*'FE Sectorial'!$H105*'FE Sectorial'!N105/1000/1000</f>
        <v>749.94401515663742</v>
      </c>
      <c r="N106" s="17">
        <f>'Datos Actividad'!$V102*'FE Sectorial'!$H105*'FE Sectorial'!O105/1000/1000</f>
        <v>680.22132894026072</v>
      </c>
      <c r="O106" s="87">
        <f>IF(D106&lt;400,H106+I106*'Factores generales'!$M$41+J106*'Factores generales'!$N$41,I106*'Factores generales'!$M$41+J106*'Factores generales'!$N$41)</f>
        <v>1071152.5362883767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34649457.969636738</v>
      </c>
      <c r="I107" s="134">
        <f t="shared" si="27"/>
        <v>9549.7633954093453</v>
      </c>
      <c r="J107" s="134">
        <f t="shared" si="27"/>
        <v>2783.5115602963797</v>
      </c>
      <c r="K107" s="134">
        <f t="shared" si="27"/>
        <v>345547.28729102085</v>
      </c>
      <c r="L107" s="134">
        <f t="shared" si="27"/>
        <v>1985998.5086996236</v>
      </c>
      <c r="M107" s="134">
        <f t="shared" si="27"/>
        <v>372989.46019137785</v>
      </c>
      <c r="N107" s="134">
        <f t="shared" si="27"/>
        <v>9821.5885509215877</v>
      </c>
      <c r="O107" s="134">
        <f t="shared" si="27"/>
        <v>35712891.58463221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31827107.766122162</v>
      </c>
      <c r="I108" s="15">
        <f t="shared" ref="I108:O108" si="28">I109+I110+I111+I112+I113</f>
        <v>9399.7181958604579</v>
      </c>
      <c r="J108" s="15">
        <f t="shared" si="28"/>
        <v>2633.4663607474922</v>
      </c>
      <c r="K108" s="15">
        <f t="shared" si="28"/>
        <v>314768.78481945419</v>
      </c>
      <c r="L108" s="15">
        <f t="shared" si="28"/>
        <v>1947525.3806101652</v>
      </c>
      <c r="M108" s="15">
        <f t="shared" si="28"/>
        <v>365294.83457348618</v>
      </c>
      <c r="N108" s="15">
        <f t="shared" si="28"/>
        <v>8425.8192527924002</v>
      </c>
      <c r="O108" s="15">
        <f t="shared" si="28"/>
        <v>32840876.420066953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Actividad'!$V105*'FE Sectorial'!$H108*'FE Sectorial'!I108*'FE Sectorial'!P108/1000</f>
        <v>1940330.3085880561</v>
      </c>
      <c r="I109" s="17">
        <f>'Datos Actividad'!$V105*'FE Sectorial'!$H108*'FE Sectorial'!J108/1000/1000</f>
        <v>3197.993324736</v>
      </c>
      <c r="J109" s="17">
        <f>'Datos Actividad'!$V105*'FE Sectorial'!$H108*'FE Sectorial'!K108/1000/1000</f>
        <v>104.28239102399999</v>
      </c>
      <c r="K109" s="17">
        <f>'Datos Actividad'!$V105*'FE Sectorial'!$H108*'FE Sectorial'!L108/1000/1000</f>
        <v>20856.478204799998</v>
      </c>
      <c r="L109" s="17">
        <f>'Datos Actividad'!$V105*'FE Sectorial'!$H108*'FE Sectorial'!M108/1000/1000</f>
        <v>13904.318803200002</v>
      </c>
      <c r="M109" s="17">
        <f>'Datos Actividad'!$V105*'FE Sectorial'!$H108*'FE Sectorial'!N108/1000/1000</f>
        <v>173.80398504000001</v>
      </c>
      <c r="N109" s="17">
        <f>'Datos Actividad'!$V105*'FE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2039815.7096249522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Actividad'!$V106*'FE Sectorial'!$H109*'FE Sectorial'!I109*'FE Sectorial'!P109/1000</f>
        <v>15065482.538568452</v>
      </c>
      <c r="I110" s="17">
        <f>'Datos Actividad'!$V106*'FE Sectorial'!$H109*'FE Sectorial'!J109/1000/1000</f>
        <v>800.92942788774337</v>
      </c>
      <c r="J110" s="17">
        <f>'Datos Actividad'!$V106*'FE Sectorial'!$H109*'FE Sectorial'!K109/1000/1000</f>
        <v>800.92942788774337</v>
      </c>
      <c r="K110" s="17">
        <f>'Datos Actividad'!$V106*'FE Sectorial'!$H109*'FE Sectorial'!L109/1000/1000</f>
        <v>164293.21597697304</v>
      </c>
      <c r="L110" s="17">
        <f>'Datos Actividad'!$V106*'FE Sectorial'!$H109*'FE Sectorial'!M109/1000/1000</f>
        <v>205366.51997121627</v>
      </c>
      <c r="M110" s="17">
        <f>'Datos Actividad'!$V106*'FE Sectorial'!$H109*'FE Sectorial'!N109/1000/1000</f>
        <v>41073.303994243259</v>
      </c>
      <c r="N110" s="17">
        <f>'Datos Actividad'!$V106*'FE Sectorial'!$H109*'FE Sectorial'!O109/1000/1000</f>
        <v>7450.5063059324966</v>
      </c>
      <c r="O110" s="87">
        <f>IF(D110&lt;400,H110+I110*'Factores generales'!$M$41+J110*'Factores generales'!$N$41,I110*'Factores generales'!$M$41+J110*'Factores generales'!$N$41)</f>
        <v>15330590.179199295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Actividad'!$V107*'FE Sectorial'!$H110*'FE Sectorial'!I110*'FE Sectorial'!P110/1000</f>
        <v>14821294.918965653</v>
      </c>
      <c r="I111" s="17">
        <f>'Datos Actividad'!$V107*'FE Sectorial'!$H110*'FE Sectorial'!J110/1000/1000</f>
        <v>5400.7954432367151</v>
      </c>
      <c r="J111" s="17">
        <f>'Datos Actividad'!$V107*'FE Sectorial'!$H110*'FE Sectorial'!K110/1000/1000</f>
        <v>1728.2545418357488</v>
      </c>
      <c r="K111" s="17">
        <f>'Datos Actividad'!$V107*'FE Sectorial'!$H110*'FE Sectorial'!L110/1000/1000</f>
        <v>129619.09063768118</v>
      </c>
      <c r="L111" s="17">
        <f>'Datos Actividad'!$V107*'FE Sectorial'!$H110*'FE Sectorial'!M110/1000/1000</f>
        <v>1728254.5418357488</v>
      </c>
      <c r="M111" s="17">
        <f>'Datos Actividad'!$V107*'FE Sectorial'!$H110*'FE Sectorial'!N110/1000/1000</f>
        <v>324047.72659420292</v>
      </c>
      <c r="N111" s="17">
        <f>'Datos Actividad'!$V107*'FE Sectorial'!$H110*'FE Sectorial'!O110/1000/1000</f>
        <v>975.31294685990349</v>
      </c>
      <c r="O111" s="87">
        <f>IF(D111&lt;400,H111+I111*'Factores generales'!$M$41+J111*'Factores generales'!$N$41,I111*'Factores generales'!$M$41+J111*'Factores generales'!$N$41)</f>
        <v>15470470.531242706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Actividad'!$V108*'FE Sectorial'!$H111*'FE Sectorial'!I111*'FE Sectorial'!P111/1000</f>
        <v>0</v>
      </c>
      <c r="I112" s="17">
        <f>'Datos Actividad'!$V108*'FE Sectorial'!$H111*'FE Sectorial'!J111/1000/1000</f>
        <v>0</v>
      </c>
      <c r="J112" s="17">
        <f>'Datos Actividad'!$V108*'FE Sectorial'!$H111*'FE Sectorial'!K111/1000/1000</f>
        <v>0</v>
      </c>
      <c r="K112" s="17">
        <f>'Datos Actividad'!$V108*'FE Sectorial'!$H111*'FE Sectorial'!L111/1000/1000</f>
        <v>0</v>
      </c>
      <c r="L112" s="17">
        <f>'Datos Actividad'!$V108*'FE Sectorial'!$H111*'FE Sectorial'!M111/1000/1000</f>
        <v>0</v>
      </c>
      <c r="M112" s="17">
        <f>'Datos Actividad'!$V108*'FE Sectorial'!$H111*'FE Sectorial'!N111/1000/1000</f>
        <v>0</v>
      </c>
      <c r="N112" s="17">
        <f>'Datos Actividad'!$V108*'FE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Actividad'!$V109*'FE Sectorial'!$H112*'FE Sectorial'!I112*'FE Sectorial'!P112/1000</f>
        <v>0</v>
      </c>
      <c r="I113" s="17">
        <f>'Datos Actividad'!$V109*'FE Sectorial'!$H112*'FE Sectorial'!J112/1000/1000</f>
        <v>0</v>
      </c>
      <c r="J113" s="17">
        <f>'Datos Actividad'!$V109*'FE Sectorial'!$H112*'FE Sectorial'!K112/1000/1000</f>
        <v>0</v>
      </c>
      <c r="K113" s="17">
        <f>'Datos Actividad'!$V109*'FE Sectorial'!$H112*'FE Sectorial'!L112/1000/1000</f>
        <v>0</v>
      </c>
      <c r="L113" s="17">
        <f>'Datos Actividad'!$V109*'FE Sectorial'!$H112*'FE Sectorial'!M112/1000/1000</f>
        <v>0</v>
      </c>
      <c r="M113" s="17">
        <f>'Datos Actividad'!$V109*'FE Sectorial'!$H112*'FE Sectorial'!N112/1000/1000</f>
        <v>0</v>
      </c>
      <c r="N113" s="17">
        <f>'Datos Actividad'!$V109*'FE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2822350.203514576</v>
      </c>
      <c r="I114" s="15">
        <f t="shared" ref="I114:O114" si="29">I115</f>
        <v>150.04519954888761</v>
      </c>
      <c r="J114" s="15">
        <f t="shared" si="29"/>
        <v>150.04519954888761</v>
      </c>
      <c r="K114" s="15">
        <f t="shared" si="29"/>
        <v>30778.502471566688</v>
      </c>
      <c r="L114" s="15">
        <f t="shared" si="29"/>
        <v>38473.128089458362</v>
      </c>
      <c r="M114" s="15">
        <f t="shared" si="29"/>
        <v>7694.6256178916719</v>
      </c>
      <c r="N114" s="15">
        <f t="shared" si="29"/>
        <v>1395.7692981291873</v>
      </c>
      <c r="O114" s="15">
        <f t="shared" si="29"/>
        <v>2872015.1645652577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Actividad'!$V111*'FE Sectorial'!$H114*'FE Sectorial'!I114*'FE Sectorial'!P114/1000</f>
        <v>2822350.203514576</v>
      </c>
      <c r="I115" s="17">
        <f>'Datos Actividad'!$V111*'FE Sectorial'!$H114*'FE Sectorial'!J114/1000/1000</f>
        <v>150.04519954888761</v>
      </c>
      <c r="J115" s="17">
        <f>'Datos Actividad'!$V111*'FE Sectorial'!$H114*'FE Sectorial'!K114/1000/1000</f>
        <v>150.04519954888761</v>
      </c>
      <c r="K115" s="17">
        <f>'Datos Actividad'!$V111*'FE Sectorial'!$H114*'FE Sectorial'!L114/1000/1000</f>
        <v>30778.502471566688</v>
      </c>
      <c r="L115" s="17">
        <f>'Datos Actividad'!$V111*'FE Sectorial'!$H114*'FE Sectorial'!M114/1000/1000</f>
        <v>38473.128089458362</v>
      </c>
      <c r="M115" s="17">
        <f>'Datos Actividad'!$V111*'FE Sectorial'!$H114*'FE Sectorial'!N114/1000/1000</f>
        <v>7694.6256178916719</v>
      </c>
      <c r="N115" s="17">
        <f>'Datos Actividad'!$V111*'FE Sectorial'!$H114*'FE Sectorial'!O114/1000/1000</f>
        <v>1395.7692981291873</v>
      </c>
      <c r="O115" s="87">
        <f>IF(D115&lt;400,H115+I115*'Factores generales'!$M$41+J115*'Factores generales'!$N$41,I115*'Factores generales'!$M$41+J115*'Factores generales'!$N$41)</f>
        <v>2872015.1645652577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374041.47371369979</v>
      </c>
      <c r="I116" s="134">
        <f t="shared" ref="I116:O116" si="30">I117</f>
        <v>21.159941055792121</v>
      </c>
      <c r="J116" s="134">
        <f t="shared" si="30"/>
        <v>145.8251359507602</v>
      </c>
      <c r="K116" s="134">
        <f t="shared" si="30"/>
        <v>6118.5371727591682</v>
      </c>
      <c r="L116" s="134">
        <f t="shared" si="30"/>
        <v>5098.7809772993069</v>
      </c>
      <c r="M116" s="134">
        <f t="shared" si="30"/>
        <v>1019.7561954598613</v>
      </c>
      <c r="N116" s="134">
        <f t="shared" si="30"/>
        <v>184.97903080434696</v>
      </c>
      <c r="O116" s="134">
        <f t="shared" si="30"/>
        <v>419691.62462060712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Actividad'!$V113*'FE Sectorial'!$H116*'FE Sectorial'!I116*'FE Sectorial'!P116/1000</f>
        <v>374041.47371369979</v>
      </c>
      <c r="I117" s="17">
        <f>'Datos Actividad'!$V113*'FE Sectorial'!$H116*'FE Sectorial'!J116/1000/1000</f>
        <v>21.159941055792121</v>
      </c>
      <c r="J117" s="17">
        <f>'Datos Actividad'!$V113*'FE Sectorial'!$H116*'FE Sectorial'!K116/1000/1000</f>
        <v>145.8251359507602</v>
      </c>
      <c r="K117" s="17">
        <f>'Datos Actividad'!$V113*'FE Sectorial'!$H116*'FE Sectorial'!L116/1000/1000</f>
        <v>6118.5371727591682</v>
      </c>
      <c r="L117" s="17">
        <f>'Datos Actividad'!$V113*'FE Sectorial'!$H116*'FE Sectorial'!M116/1000/1000</f>
        <v>5098.7809772993069</v>
      </c>
      <c r="M117" s="17">
        <f>'Datos Actividad'!$V113*'FE Sectorial'!$H116*'FE Sectorial'!N116/1000/1000</f>
        <v>1019.7561954598613</v>
      </c>
      <c r="N117" s="17">
        <f>'Datos Actividad'!$V113*'FE Sectorial'!$H116*'FE Sectorial'!O116/1000/1000</f>
        <v>184.97903080434696</v>
      </c>
      <c r="O117" s="87">
        <f>IF(D117&lt;400,H117+I117*'Factores generales'!$M$41+J117*'Factores generales'!$N$41,I117*'Factores generales'!$M$41+J117*'Factores generales'!$N$41)</f>
        <v>419691.62462060712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176117.72513033077</v>
      </c>
      <c r="I118" s="134">
        <f t="shared" ref="I118:O118" si="31">I122</f>
        <v>16.686339087123809</v>
      </c>
      <c r="J118" s="134">
        <f t="shared" si="31"/>
        <v>4.7675254534639446</v>
      </c>
      <c r="K118" s="134">
        <f t="shared" si="31"/>
        <v>3575.6440900979592</v>
      </c>
      <c r="L118" s="134">
        <f t="shared" si="31"/>
        <v>2383.7627267319722</v>
      </c>
      <c r="M118" s="134">
        <f t="shared" si="31"/>
        <v>476.75254534639447</v>
      </c>
      <c r="N118" s="134">
        <f t="shared" si="31"/>
        <v>148.23007101632271</v>
      </c>
      <c r="O118" s="134">
        <f t="shared" si="31"/>
        <v>177946.0711417342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1622949.2465338348</v>
      </c>
      <c r="I119" s="15">
        <f t="shared" ref="I119:O119" si="32">I120+I121</f>
        <v>150.32720195499999</v>
      </c>
      <c r="J119" s="15">
        <f t="shared" si="32"/>
        <v>42.950629129999996</v>
      </c>
      <c r="K119" s="15">
        <f t="shared" si="32"/>
        <v>32212.971847499997</v>
      </c>
      <c r="L119" s="15">
        <f t="shared" si="32"/>
        <v>21475.314565000001</v>
      </c>
      <c r="M119" s="15">
        <f t="shared" si="32"/>
        <v>4295.0629129999998</v>
      </c>
      <c r="N119" s="15">
        <f t="shared" si="32"/>
        <v>3132.7685097999997</v>
      </c>
      <c r="O119" s="15">
        <f t="shared" si="32"/>
        <v>1639420.81280519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Actividad'!$V116*'FE Sectorial'!$H119*'FE Sectorial'!I119*'FE Sectorial'!P119/1000</f>
        <v>507881.56445383496</v>
      </c>
      <c r="I120" s="17">
        <f>'Datos Actividad'!$V116*'FE Sectorial'!$H119*'FE Sectorial'!J119/1000/1000</f>
        <v>48.462641955000002</v>
      </c>
      <c r="J120" s="17">
        <f>'Datos Actividad'!$V116*'FE Sectorial'!$H119*'FE Sectorial'!K119/1000/1000</f>
        <v>13.846469129999999</v>
      </c>
      <c r="K120" s="17">
        <f>'Datos Actividad'!$V116*'FE Sectorial'!$H119*'FE Sectorial'!L119/1000/1000</f>
        <v>10384.8518475</v>
      </c>
      <c r="L120" s="17">
        <f>'Datos Actividad'!$V116*'FE Sectorial'!$H119*'FE Sectorial'!M119/1000/1000</f>
        <v>6923.2345649999997</v>
      </c>
      <c r="M120" s="17">
        <f>'Datos Actividad'!$V116*'FE Sectorial'!$H119*'FE Sectorial'!N119/1000/1000</f>
        <v>1384.646913</v>
      </c>
      <c r="N120" s="17">
        <f>'Datos Actividad'!$V116*'FE Sectorial'!$H119*'FE Sectorial'!O119/1000/1000</f>
        <v>251.16850979999998</v>
      </c>
      <c r="O120" s="87">
        <f>IF(D120&lt;400,H120+I120*'Factores generales'!$M$41+J120*'Factores generales'!$N$41,I120*'Factores generales'!$M$41+J120*'Factores generales'!$N$41)</f>
        <v>513191.68536518997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Actividad'!$V117*'FE Sectorial'!$H120*'FE Sectorial'!I120*'FE Sectorial'!P120/1000</f>
        <v>1115067.6820799999</v>
      </c>
      <c r="I121" s="17">
        <f>'Datos Actividad'!$V117*'FE Sectorial'!$H120*'FE Sectorial'!J120/1000/1000</f>
        <v>101.86456</v>
      </c>
      <c r="J121" s="17">
        <f>'Datos Actividad'!$V117*'FE Sectorial'!$H120*'FE Sectorial'!K120/1000/1000</f>
        <v>29.10416</v>
      </c>
      <c r="K121" s="17">
        <f>'Datos Actividad'!$V117*'FE Sectorial'!$H120*'FE Sectorial'!L120/1000/1000</f>
        <v>21828.12</v>
      </c>
      <c r="L121" s="17">
        <f>'Datos Actividad'!$V117*'FE Sectorial'!$H120*'FE Sectorial'!M120/1000/1000</f>
        <v>14552.08</v>
      </c>
      <c r="M121" s="17">
        <f>'Datos Actividad'!$V117*'FE Sectorial'!$H120*'FE Sectorial'!N120/1000/1000</f>
        <v>2910.4160000000002</v>
      </c>
      <c r="N121" s="17">
        <f>'Datos Actividad'!$V117*'FE Sectorial'!$H120*'FE Sectorial'!O120/1000/1000</f>
        <v>2881.6</v>
      </c>
      <c r="O121" s="87">
        <f>IF(D121&lt;400,H121+I121*'Factores generales'!$M$41+J121*'Factores generales'!$N$41,I121*'Factores generales'!$M$41+J121*'Factores generales'!$N$41)</f>
        <v>1126229.12744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176117.72513033077</v>
      </c>
      <c r="I122" s="15">
        <f t="shared" ref="I122:O122" si="33">I123+I124</f>
        <v>16.686339087123809</v>
      </c>
      <c r="J122" s="15">
        <f t="shared" si="33"/>
        <v>4.7675254534639446</v>
      </c>
      <c r="K122" s="15">
        <f t="shared" si="33"/>
        <v>3575.6440900979592</v>
      </c>
      <c r="L122" s="15">
        <f t="shared" si="33"/>
        <v>2383.7627267319722</v>
      </c>
      <c r="M122" s="15">
        <f t="shared" si="33"/>
        <v>476.75254534639447</v>
      </c>
      <c r="N122" s="15">
        <f t="shared" si="33"/>
        <v>148.23007101632271</v>
      </c>
      <c r="O122" s="15">
        <f t="shared" si="33"/>
        <v>177946.0711417342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Actividad'!$V119*'FE Sectorial'!$H122*'FE Sectorial'!I122*'FE Sectorial'!P122/1000</f>
        <v>146863.45085033076</v>
      </c>
      <c r="I123" s="17">
        <f>'Datos Actividad'!$V119*'FE Sectorial'!$H122*'FE Sectorial'!J122/1000/1000</f>
        <v>14.013879087123808</v>
      </c>
      <c r="J123" s="17">
        <f>'Datos Actividad'!$V119*'FE Sectorial'!$H122*'FE Sectorial'!K122/1000/1000</f>
        <v>4.0039654534639446</v>
      </c>
      <c r="K123" s="17">
        <f>'Datos Actividad'!$V119*'FE Sectorial'!$H122*'FE Sectorial'!L122/1000/1000</f>
        <v>3002.9740900979591</v>
      </c>
      <c r="L123" s="17">
        <f>'Datos Actividad'!$V119*'FE Sectorial'!$H122*'FE Sectorial'!M122/1000/1000</f>
        <v>2001.9827267319724</v>
      </c>
      <c r="M123" s="17">
        <f>'Datos Actividad'!$V119*'FE Sectorial'!$H122*'FE Sectorial'!N122/1000/1000</f>
        <v>400.39654534639448</v>
      </c>
      <c r="N123" s="17">
        <f>'Datos Actividad'!$V119*'FE Sectorial'!$H122*'FE Sectorial'!O122/1000/1000</f>
        <v>72.630071016322731</v>
      </c>
      <c r="O123" s="87">
        <f>IF(D123&lt;400,H123+I123*'Factores generales'!$M$41+J123*'Factores generales'!$N$41,I123*'Factores generales'!$M$41+J123*'Factores generales'!$N$41)</f>
        <v>148398.9716017342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Actividad'!$V120*'FE Sectorial'!$H123*'FE Sectorial'!I123*'FE Sectorial'!P123/1000</f>
        <v>29254.274280000005</v>
      </c>
      <c r="I124" s="17">
        <f>'Datos Actividad'!$V120*'FE Sectorial'!$H123*'FE Sectorial'!J123/1000/1000</f>
        <v>2.6724600000000001</v>
      </c>
      <c r="J124" s="17">
        <f>'Datos Actividad'!$V120*'FE Sectorial'!$H123*'FE Sectorial'!K123/1000/1000</f>
        <v>0.76355999999999991</v>
      </c>
      <c r="K124" s="17">
        <f>'Datos Actividad'!$V120*'FE Sectorial'!$H123*'FE Sectorial'!L123/1000/1000</f>
        <v>572.66999999999996</v>
      </c>
      <c r="L124" s="17">
        <f>'Datos Actividad'!$V120*'FE Sectorial'!$H123*'FE Sectorial'!M123/1000/1000</f>
        <v>381.78</v>
      </c>
      <c r="M124" s="17">
        <f>'Datos Actividad'!$V120*'FE Sectorial'!$H123*'FE Sectorial'!N123/1000/1000</f>
        <v>76.355999999999995</v>
      </c>
      <c r="N124" s="17">
        <f>'Datos Actividad'!$V120*'FE Sectorial'!$H123*'FE Sectorial'!O123/1000/1000</f>
        <v>75.599999999999994</v>
      </c>
      <c r="O124" s="87">
        <f>IF(D124&lt;400,H124+I124*'Factores generales'!$M$41+J124*'Factores generales'!$N$41,I124*'Factores generales'!$M$41+J124*'Factores generales'!$N$41)</f>
        <v>29547.099540000007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1601303.9488589647</v>
      </c>
      <c r="I125" s="134">
        <f t="shared" si="34"/>
        <v>28.76126067352941</v>
      </c>
      <c r="J125" s="134">
        <f t="shared" si="34"/>
        <v>2.8906499497058826</v>
      </c>
      <c r="K125" s="134">
        <f t="shared" si="34"/>
        <v>4302.0858657352937</v>
      </c>
      <c r="L125" s="134">
        <f t="shared" si="34"/>
        <v>573.04663111764705</v>
      </c>
      <c r="M125" s="134">
        <f t="shared" si="34"/>
        <v>143.32217395588233</v>
      </c>
      <c r="N125" s="134">
        <f t="shared" si="34"/>
        <v>1.756376470588235</v>
      </c>
      <c r="O125" s="134">
        <f t="shared" si="34"/>
        <v>1602804.0368175176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1601303.9488589647</v>
      </c>
      <c r="I126" s="15">
        <f t="shared" si="35"/>
        <v>28.76126067352941</v>
      </c>
      <c r="J126" s="15">
        <f t="shared" si="35"/>
        <v>2.8906499497058826</v>
      </c>
      <c r="K126" s="15">
        <f t="shared" si="35"/>
        <v>4302.0858657352937</v>
      </c>
      <c r="L126" s="15">
        <f t="shared" si="35"/>
        <v>573.04663111764705</v>
      </c>
      <c r="M126" s="15">
        <f t="shared" si="35"/>
        <v>143.32217395588233</v>
      </c>
      <c r="N126" s="15">
        <f t="shared" si="35"/>
        <v>1.756376470588235</v>
      </c>
      <c r="O126" s="15">
        <f t="shared" si="35"/>
        <v>1602804.0368175176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Actividad'!$V123*'FE Sectorial'!$H126*'FE Sectorial'!I126*'FE Sectorial'!P126/1000</f>
        <v>1581609.3614640001</v>
      </c>
      <c r="I127" s="17">
        <f>'Datos Actividad'!$V123*'FE Sectorial'!$H126*'FE Sectorial'!J126/1000/1000</f>
        <v>28.334351999999999</v>
      </c>
      <c r="J127" s="17">
        <f>'Datos Actividad'!$V123*'FE Sectorial'!$H126*'FE Sectorial'!K126/1000/1000</f>
        <v>2.8334352000000003</v>
      </c>
      <c r="K127" s="17">
        <f>'Datos Actividad'!$V123*'FE Sectorial'!$H126*'FE Sectorial'!L126/1000/1000</f>
        <v>4250.1527999999998</v>
      </c>
      <c r="L127" s="17">
        <f>'Datos Actividad'!$V123*'FE Sectorial'!$H126*'FE Sectorial'!M126/1000/1000</f>
        <v>566.68704000000002</v>
      </c>
      <c r="M127" s="17">
        <f>'Datos Actividad'!$V123*'FE Sectorial'!$H126*'FE Sectorial'!N126/1000/1000</f>
        <v>141.67176000000001</v>
      </c>
      <c r="N127" s="17">
        <f>'Datos Actividad'!$V123*'FE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1583082.747768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Actividad'!$V124*'FE Sectorial'!$H127*'FE Sectorial'!I127*'FE Sectorial'!P127/1000</f>
        <v>3551.5249517647053</v>
      </c>
      <c r="I128" s="17">
        <f>'Datos Actividad'!$V124*'FE Sectorial'!$H127*'FE Sectorial'!J127/1000/1000</f>
        <v>0.14523882352941175</v>
      </c>
      <c r="J128" s="17">
        <f>'Datos Actividad'!$V124*'FE Sectorial'!$H127*'FE Sectorial'!K127/1000/1000</f>
        <v>2.9047764705882346E-2</v>
      </c>
      <c r="K128" s="17">
        <f>'Datos Actividad'!$V124*'FE Sectorial'!$H127*'FE Sectorial'!L127/1000/1000</f>
        <v>9.6825882352941175</v>
      </c>
      <c r="L128" s="17">
        <f>'Datos Actividad'!$V124*'FE Sectorial'!$H127*'FE Sectorial'!M127/1000/1000</f>
        <v>0.72619411764705866</v>
      </c>
      <c r="M128" s="17">
        <f>'Datos Actividad'!$V124*'FE Sectorial'!$H127*'FE Sectorial'!N127/1000/1000</f>
        <v>0.24206470588235288</v>
      </c>
      <c r="N128" s="17">
        <f>'Datos Actividad'!$V124*'FE Sectorial'!$H127*'FE Sectorial'!O127/1000/1000</f>
        <v>1.756376470588235</v>
      </c>
      <c r="O128" s="87">
        <f>IF(D128&lt;400,H128+I128*'Factores generales'!$M$41+J128*'Factores generales'!$N$41,I128*'Factores generales'!$M$41+J128*'Factores generales'!$N$41)</f>
        <v>3563.5797741176466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Actividad'!$V125*'FE Sectorial'!$H128*'FE Sectorial'!I128*'FE Sectorial'!P128/1000</f>
        <v>16143.0624432</v>
      </c>
      <c r="I129" s="17">
        <f>'Datos Actividad'!$V125*'FE Sectorial'!$H128*'FE Sectorial'!J128/1000/1000</f>
        <v>0.28166985</v>
      </c>
      <c r="J129" s="17">
        <f>'Datos Actividad'!$V125*'FE Sectorial'!$H128*'FE Sectorial'!K128/1000/1000</f>
        <v>2.8166985000000002E-2</v>
      </c>
      <c r="K129" s="17">
        <f>'Datos Actividad'!$V125*'FE Sectorial'!$H128*'FE Sectorial'!L128/1000/1000</f>
        <v>42.250477500000002</v>
      </c>
      <c r="L129" s="17">
        <f>'Datos Actividad'!$V125*'FE Sectorial'!$H128*'FE Sectorial'!M128/1000/1000</f>
        <v>5.6333969999999995</v>
      </c>
      <c r="M129" s="17">
        <f>'Datos Actividad'!$V125*'FE Sectorial'!$H128*'FE Sectorial'!N128/1000/1000</f>
        <v>1.4083492499999999</v>
      </c>
      <c r="N129" s="17">
        <f>'Datos Actividad'!$V125*'FE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16157.7092754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25571422.991042547</v>
      </c>
      <c r="I131" s="129">
        <f t="shared" si="36"/>
        <v>2927.5432209910014</v>
      </c>
      <c r="J131" s="129">
        <f t="shared" si="36"/>
        <v>200.89151661591214</v>
      </c>
      <c r="K131" s="129">
        <f t="shared" si="36"/>
        <v>174356.29997897221</v>
      </c>
      <c r="L131" s="129">
        <f t="shared" si="36"/>
        <v>258490.03885971697</v>
      </c>
      <c r="M131" s="129">
        <f t="shared" si="36"/>
        <v>32535.762341820795</v>
      </c>
      <c r="N131" s="129">
        <f t="shared" si="36"/>
        <v>8108.1872685792068</v>
      </c>
      <c r="O131" s="129">
        <f t="shared" si="36"/>
        <v>25695177.768834297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2802973.8822475127</v>
      </c>
      <c r="I132" s="134">
        <f>SUM(I133:I137)</f>
        <v>61.918434797331173</v>
      </c>
      <c r="J132" s="134">
        <f t="shared" ref="J132:O132" si="37">SUM(J133:J137)</f>
        <v>8.2893275385566465</v>
      </c>
      <c r="K132" s="134">
        <f t="shared" si="37"/>
        <v>6840.7004843055602</v>
      </c>
      <c r="L132" s="134">
        <f t="shared" si="37"/>
        <v>2187.0119810430297</v>
      </c>
      <c r="M132" s="134">
        <f t="shared" si="37"/>
        <v>239.67603869253824</v>
      </c>
      <c r="N132" s="134">
        <f t="shared" si="37"/>
        <v>317.54655697018535</v>
      </c>
      <c r="O132" s="134">
        <f t="shared" si="37"/>
        <v>2806843.8609152096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Actividad'!$V129*'FE Sectorial'!$H132*'FE Sectorial'!I132*'FE Sectorial'!P132/1000</f>
        <v>0</v>
      </c>
      <c r="I133" s="17">
        <f>'Datos Actividad'!$V129*'FE Sectorial'!$H132*'FE Sectorial'!J132/1000/1000</f>
        <v>0</v>
      </c>
      <c r="J133" s="17">
        <f>'Datos Actividad'!$V129*'FE Sectorial'!$H132*'FE Sectorial'!K132/1000/1000</f>
        <v>0</v>
      </c>
      <c r="K133" s="17">
        <f>'Datos Actividad'!$V129*'FE Sectorial'!$H132*'FE Sectorial'!L132/1000/1000</f>
        <v>0</v>
      </c>
      <c r="L133" s="17">
        <f>'Datos Actividad'!$V129*'FE Sectorial'!$H132*'FE Sectorial'!M132/1000/1000</f>
        <v>0</v>
      </c>
      <c r="M133" s="17">
        <f>'Datos Actividad'!$V129*'FE Sectorial'!$H132*'FE Sectorial'!N132/1000/1000</f>
        <v>0</v>
      </c>
      <c r="N133" s="17">
        <f>'Datos Actividad'!$V129*'FE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Actividad'!$V130*'FE Sectorial'!$H133*'FE Sectorial'!I133*'FE Sectorial'!P133/1000</f>
        <v>2257095.2626751764</v>
      </c>
      <c r="I134" s="17">
        <f>'Datos Actividad'!$V130*'FE Sectorial'!$H133*'FE Sectorial'!J133/1000/1000</f>
        <v>40.435605167999995</v>
      </c>
      <c r="J134" s="17">
        <f>'Datos Actividad'!$V130*'FE Sectorial'!$H133*'FE Sectorial'!K133/1000/1000</f>
        <v>4.0435605167999995</v>
      </c>
      <c r="K134" s="17">
        <f>'Datos Actividad'!$V130*'FE Sectorial'!$H133*'FE Sectorial'!L133/1000/1000</f>
        <v>6065.3407752000003</v>
      </c>
      <c r="L134" s="17">
        <f>'Datos Actividad'!$V130*'FE Sectorial'!$H133*'FE Sectorial'!M133/1000/1000</f>
        <v>2021.7802583999999</v>
      </c>
      <c r="M134" s="17">
        <f>'Datos Actividad'!$V130*'FE Sectorial'!$H133*'FE Sectorial'!N133/1000/1000</f>
        <v>202.17802583999998</v>
      </c>
      <c r="N134" s="17">
        <f>'Datos Actividad'!$V130*'FE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2259197.9141439125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Actividad'!$V131*'FE Sectorial'!$H134*'FE Sectorial'!I134*'FE Sectorial'!P134/1000</f>
        <v>31733.567408219176</v>
      </c>
      <c r="I135" s="17">
        <f>'Datos Actividad'!$V131*'FE Sectorial'!$H134*'FE Sectorial'!J134/1000/1000</f>
        <v>0.50798904109589038</v>
      </c>
      <c r="J135" s="17">
        <f>'Datos Actividad'!$V131*'FE Sectorial'!$H134*'FE Sectorial'!K134/1000/1000</f>
        <v>5.0798904109589045E-2</v>
      </c>
      <c r="K135" s="17">
        <f>'Datos Actividad'!$V131*'FE Sectorial'!$H134*'FE Sectorial'!L134/1000/1000</f>
        <v>76.198356164383554</v>
      </c>
      <c r="L135" s="17">
        <f>'Datos Actividad'!$V131*'FE Sectorial'!$H134*'FE Sectorial'!M134/1000/1000</f>
        <v>25.399452054794523</v>
      </c>
      <c r="M135" s="17">
        <f>'Datos Actividad'!$V131*'FE Sectorial'!$H134*'FE Sectorial'!N134/1000/1000</f>
        <v>2.539945205479452</v>
      </c>
      <c r="N135" s="17">
        <f>'Datos Actividad'!$V131*'FE Sectorial'!$H134*'FE Sectorial'!O134/1000/1000</f>
        <v>2.1479452054794526</v>
      </c>
      <c r="O135" s="87">
        <f>IF(D135&lt;400,H135+I135*'Factores generales'!$M$41+J135*'Factores generales'!$N$41,I135*'Factores generales'!$M$41+J135*'Factores generales'!$N$41)</f>
        <v>31759.982838356162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Actividad'!$V132*'FE Sectorial'!$H135*'FE Sectorial'!I135*'FE Sectorial'!P135/1000</f>
        <v>484890.77788411756</v>
      </c>
      <c r="I136" s="17">
        <f>'Datos Actividad'!$V132*'FE Sectorial'!$H135*'FE Sectorial'!J135/1000/1000</f>
        <v>19.829500588235291</v>
      </c>
      <c r="J136" s="17">
        <f>'Datos Actividad'!$V132*'FE Sectorial'!$H135*'FE Sectorial'!K135/1000/1000</f>
        <v>3.9659001176470583</v>
      </c>
      <c r="K136" s="17">
        <f>'Datos Actividad'!$V132*'FE Sectorial'!$H135*'FE Sectorial'!L135/1000/1000</f>
        <v>660.98335294117635</v>
      </c>
      <c r="L136" s="17">
        <f>'Datos Actividad'!$V132*'FE Sectorial'!$H135*'FE Sectorial'!M135/1000/1000</f>
        <v>132.19667058823529</v>
      </c>
      <c r="M136" s="17">
        <f>'Datos Actividad'!$V132*'FE Sectorial'!$H135*'FE Sectorial'!N135/1000/1000</f>
        <v>33.049167647058823</v>
      </c>
      <c r="N136" s="17">
        <f>'Datos Actividad'!$V132*'FE Sectorial'!$H135*'FE Sectorial'!O135/1000/1000</f>
        <v>239.79861176470587</v>
      </c>
      <c r="O136" s="87">
        <f>IF(D136&lt;400,H136+I136*'Factores generales'!$M$41+J136*'Factores generales'!$N$41,I136*'Factores generales'!$M$41+J136*'Factores generales'!$N$41)</f>
        <v>486536.62643294112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Actividad'!$V133*'FE Sectorial'!$H136*'FE Sectorial'!I136*'FE Sectorial'!P136/1000</f>
        <v>29254.274280000009</v>
      </c>
      <c r="I137" s="17">
        <f>'Datos Actividad'!$V133*'FE Sectorial'!$H136*'FE Sectorial'!J136/1000/1000</f>
        <v>1.1453400000000002</v>
      </c>
      <c r="J137" s="17">
        <f>'Datos Actividad'!$V133*'FE Sectorial'!$H136*'FE Sectorial'!K136/1000/1000</f>
        <v>0.22906800000000005</v>
      </c>
      <c r="K137" s="17">
        <f>'Datos Actividad'!$V133*'FE Sectorial'!$H136*'FE Sectorial'!L136/1000/1000</f>
        <v>38.178000000000004</v>
      </c>
      <c r="L137" s="17">
        <f>'Datos Actividad'!$V133*'FE Sectorial'!$H136*'FE Sectorial'!M136/1000/1000</f>
        <v>7.6356000000000011</v>
      </c>
      <c r="M137" s="17">
        <f>'Datos Actividad'!$V133*'FE Sectorial'!$H136*'FE Sectorial'!N136/1000/1000</f>
        <v>1.9089000000000003</v>
      </c>
      <c r="N137" s="17">
        <f>'Datos Actividad'!$V133*'FE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15019667.395853862</v>
      </c>
      <c r="I138" s="134">
        <f>SUM(I139:I144)</f>
        <v>2548.7400803113173</v>
      </c>
      <c r="J138" s="134">
        <f t="shared" ref="J138:O138" si="38">SUM(J139:J144)</f>
        <v>129.22524790088491</v>
      </c>
      <c r="K138" s="134">
        <f t="shared" si="38"/>
        <v>40761.717141725472</v>
      </c>
      <c r="L138" s="134">
        <f t="shared" si="38"/>
        <v>150674.79158455628</v>
      </c>
      <c r="M138" s="134">
        <f t="shared" si="38"/>
        <v>11170.439244304731</v>
      </c>
      <c r="N138" s="134">
        <f t="shared" si="38"/>
        <v>3958.546593961963</v>
      </c>
      <c r="O138" s="134">
        <f t="shared" si="38"/>
        <v>15113250.764389675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Actividad'!$V135*'FE Sectorial'!$H138*'FE Sectorial'!I138*'FE Sectorial'!P138/1000</f>
        <v>1193250.24</v>
      </c>
      <c r="I139" s="17">
        <f>'Datos Actividad'!$V135*'FE Sectorial'!$H138*'FE Sectorial'!J138/1000/1000</f>
        <v>367.38</v>
      </c>
      <c r="J139" s="17">
        <f>'Datos Actividad'!$V135*'FE Sectorial'!$H138*'FE Sectorial'!K138/1000/1000</f>
        <v>48.984000000000002</v>
      </c>
      <c r="K139" s="17">
        <f>'Datos Actividad'!$V135*'FE Sectorial'!$H138*'FE Sectorial'!L138/1000/1000</f>
        <v>1224.5999999999999</v>
      </c>
      <c r="L139" s="17">
        <f>'Datos Actividad'!$V135*'FE Sectorial'!$H138*'FE Sectorial'!M138/1000/1000</f>
        <v>61230</v>
      </c>
      <c r="M139" s="17">
        <f>'Datos Actividad'!$V135*'FE Sectorial'!$H138*'FE Sectorial'!N138/1000/1000</f>
        <v>7347.6</v>
      </c>
      <c r="N139" s="17">
        <f>'Datos Actividad'!$V135*'FE Sectorial'!$H138*'FE Sectorial'!O138/1000/1000</f>
        <v>3140</v>
      </c>
      <c r="O139" s="87">
        <f>IF(D139&lt;400,H139+I139*'Factores generales'!$M$41+J139*'Factores generales'!$N$41,I139*'Factores generales'!$M$41+J139*'Factores generales'!$N$41)</f>
        <v>22900.02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Actividad'!$V136*'FE Sectorial'!$H139*'FE Sectorial'!I139*'FE Sectorial'!P139/1000</f>
        <v>234095.43091318494</v>
      </c>
      <c r="I140" s="17">
        <f>'Datos Actividad'!$V136*'FE Sectorial'!$H139*'FE Sectorial'!J139/1000/1000</f>
        <v>80.722562383856868</v>
      </c>
      <c r="J140" s="17">
        <f>'Datos Actividad'!$V136*'FE Sectorial'!$H139*'FE Sectorial'!K139/1000/1000</f>
        <v>10.763008317847584</v>
      </c>
      <c r="K140" s="17">
        <f>'Datos Actividad'!$V136*'FE Sectorial'!$H139*'FE Sectorial'!L139/1000/1000</f>
        <v>269.07520794618955</v>
      </c>
      <c r="L140" s="17">
        <f>'Datos Actividad'!$V136*'FE Sectorial'!$H139*'FE Sectorial'!M139/1000/1000</f>
        <v>13453.760397309479</v>
      </c>
      <c r="M140" s="17">
        <f>'Datos Actividad'!$V136*'FE Sectorial'!$H139*'FE Sectorial'!N139/1000/1000</f>
        <v>1614.4512476771376</v>
      </c>
      <c r="N140" s="17">
        <f>'Datos Actividad'!$V136*'FE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5031.706388593745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Actividad'!$V137*'FE Sectorial'!$H140*'FE Sectorial'!I140*'FE Sectorial'!P140/1000</f>
        <v>11552475.47619053</v>
      </c>
      <c r="I141" s="17">
        <f>'Datos Actividad'!$V137*'FE Sectorial'!$H140*'FE Sectorial'!J140/1000/1000</f>
        <v>206.96128550399999</v>
      </c>
      <c r="J141" s="17">
        <f>'Datos Actividad'!$V137*'FE Sectorial'!$H140*'FE Sectorial'!K140/1000/1000</f>
        <v>20.696128550400005</v>
      </c>
      <c r="K141" s="17">
        <f>'Datos Actividad'!$V137*'FE Sectorial'!$H140*'FE Sectorial'!L140/1000/1000</f>
        <v>31044.192825600003</v>
      </c>
      <c r="L141" s="17">
        <f>'Datos Actividad'!$V137*'FE Sectorial'!$H140*'FE Sectorial'!M140/1000/1000</f>
        <v>10348.0642752</v>
      </c>
      <c r="M141" s="17">
        <f>'Datos Actividad'!$V137*'FE Sectorial'!$H140*'FE Sectorial'!N140/1000/1000</f>
        <v>1034.8064275199999</v>
      </c>
      <c r="N141" s="17">
        <f>'Datos Actividad'!$V137*'FE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11563237.463036738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Actividad'!$V138*'FE Sectorial'!$H141*'FE Sectorial'!I141*'FE Sectorial'!P141/1000</f>
        <v>2448244.7255441095</v>
      </c>
      <c r="I142" s="17">
        <f>'Datos Actividad'!$V138*'FE Sectorial'!$H141*'FE Sectorial'!J141/1000/1000</f>
        <v>39.191354520547939</v>
      </c>
      <c r="J142" s="17">
        <f>'Datos Actividad'!$V138*'FE Sectorial'!$H141*'FE Sectorial'!K141/1000/1000</f>
        <v>3.9191354520547943</v>
      </c>
      <c r="K142" s="17">
        <f>'Datos Actividad'!$V138*'FE Sectorial'!$H141*'FE Sectorial'!L141/1000/1000</f>
        <v>5878.7031780821917</v>
      </c>
      <c r="L142" s="17">
        <f>'Datos Actividad'!$V138*'FE Sectorial'!$H141*'FE Sectorial'!M141/1000/1000</f>
        <v>1959.5677260273972</v>
      </c>
      <c r="M142" s="17">
        <f>'Datos Actividad'!$V138*'FE Sectorial'!$H141*'FE Sectorial'!N141/1000/1000</f>
        <v>195.95677260273968</v>
      </c>
      <c r="N142" s="17">
        <f>'Datos Actividad'!$V138*'FE Sectorial'!$H141*'FE Sectorial'!O141/1000/1000</f>
        <v>165.71397260273974</v>
      </c>
      <c r="O142" s="87">
        <f>IF(D142&lt;400,H142+I142*'Factores generales'!$M$41+J142*'Factores generales'!$N$41,I142*'Factores generales'!$M$41+J142*'Factores generales'!$N$41)</f>
        <v>2450282.6759791779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Actividad'!$V139*'FE Sectorial'!$H142*'FE Sectorial'!I142*'FE Sectorial'!P142/1000</f>
        <v>1018947.1941192233</v>
      </c>
      <c r="I143" s="17">
        <f>'Datos Actividad'!$V139*'FE Sectorial'!$H142*'FE Sectorial'!J142/1000/1000</f>
        <v>43.184877902912618</v>
      </c>
      <c r="J143" s="17">
        <f>'Datos Actividad'!$V139*'FE Sectorial'!$H142*'FE Sectorial'!K142/1000/1000</f>
        <v>8.6369755805825239</v>
      </c>
      <c r="K143" s="17">
        <f>'Datos Actividad'!$V139*'FE Sectorial'!$H142*'FE Sectorial'!L142/1000/1000</f>
        <v>1439.4959300970872</v>
      </c>
      <c r="L143" s="17">
        <f>'Datos Actividad'!$V139*'FE Sectorial'!$H142*'FE Sectorial'!M142/1000/1000</f>
        <v>287.89918601941747</v>
      </c>
      <c r="M143" s="17">
        <f>'Datos Actividad'!$V139*'FE Sectorial'!$H142*'FE Sectorial'!N142/1000/1000</f>
        <v>71.974796504854368</v>
      </c>
      <c r="N143" s="17">
        <f>'Datos Actividad'!$V139*'FE Sectorial'!$H142*'FE Sectorial'!O142/1000/1000</f>
        <v>652.83262135922325</v>
      </c>
      <c r="O143" s="87">
        <f>IF(D143&lt;400,H143+I143*'Factores generales'!$M$41+J143*'Factores generales'!$N$41,I143*'Factores generales'!$M$41+J143*'Factores generales'!$N$41)</f>
        <v>1022531.5389851651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Actividad'!$V140*'FE Sectorial'!$H143*'FE Sectorial'!I143*'FE Sectorial'!P143/1000</f>
        <v>882465.36</v>
      </c>
      <c r="I144" s="17">
        <f>'Datos Actividad'!$V140*'FE Sectorial'!$H143*'FE Sectorial'!J143/1000/1000</f>
        <v>1811.3</v>
      </c>
      <c r="J144" s="17">
        <f>'Datos Actividad'!$V140*'FE Sectorial'!$H143*'FE Sectorial'!K143/1000/1000</f>
        <v>36.225999999999999</v>
      </c>
      <c r="K144" s="17">
        <f>'Datos Actividad'!$V140*'FE Sectorial'!$H143*'FE Sectorial'!L143/1000/1000</f>
        <v>905.65</v>
      </c>
      <c r="L144" s="17">
        <f>'Datos Actividad'!$V140*'FE Sectorial'!$H143*'FE Sectorial'!M143/1000/1000</f>
        <v>63395.5</v>
      </c>
      <c r="M144" s="17">
        <f>'Datos Actividad'!$V140*'FE Sectorial'!$H143*'FE Sectorial'!N143/1000/1000</f>
        <v>905.65</v>
      </c>
      <c r="N144" s="17">
        <f>'Datos Actividad'!$V140*'FE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49267.359999999993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7748781.7129411753</v>
      </c>
      <c r="I145" s="134">
        <f t="shared" ref="I145:O145" si="39">SUM(I146:I149)</f>
        <v>316.88470588235293</v>
      </c>
      <c r="J145" s="134">
        <f t="shared" si="39"/>
        <v>63.376941176470588</v>
      </c>
      <c r="K145" s="134">
        <f t="shared" si="39"/>
        <v>126753.88235294117</v>
      </c>
      <c r="L145" s="134">
        <f t="shared" si="39"/>
        <v>105628.23529411765</v>
      </c>
      <c r="M145" s="134">
        <f t="shared" si="39"/>
        <v>21125.647058823528</v>
      </c>
      <c r="N145" s="134">
        <f t="shared" si="39"/>
        <v>3832.0941176470587</v>
      </c>
      <c r="O145" s="134">
        <f t="shared" si="39"/>
        <v>7775083.1435294105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Actividad'!$V142*'FE Sectorial'!$H145*'FE Sectorial'!I145*'FE Sectorial'!P145/1000</f>
        <v>0</v>
      </c>
      <c r="I146" s="17">
        <f>'Datos Actividad'!$V142*'FE Sectorial'!$H145*'FE Sectorial'!J145/1000/1000</f>
        <v>0</v>
      </c>
      <c r="J146" s="17">
        <f>'Datos Actividad'!$V142*'FE Sectorial'!$H145*'FE Sectorial'!K145/1000/1000</f>
        <v>0</v>
      </c>
      <c r="K146" s="17">
        <f>'Datos Actividad'!$V142*'FE Sectorial'!$H145*'FE Sectorial'!L145/1000/1000</f>
        <v>0</v>
      </c>
      <c r="L146" s="17">
        <f>'Datos Actividad'!$V142*'FE Sectorial'!$H145*'FE Sectorial'!M145/1000/1000</f>
        <v>0</v>
      </c>
      <c r="M146" s="17">
        <f>'Datos Actividad'!$V142*'FE Sectorial'!$H145*'FE Sectorial'!N145/1000/1000</f>
        <v>0</v>
      </c>
      <c r="N146" s="17">
        <f>'Datos Actividad'!$V142*'FE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Actividad'!$V143*'FE Sectorial'!$H146*'FE Sectorial'!I146*'FE Sectorial'!P146/1000</f>
        <v>0</v>
      </c>
      <c r="I147" s="17">
        <f>'Datos Actividad'!$V143*'FE Sectorial'!$H146*'FE Sectorial'!J146/1000/1000</f>
        <v>0</v>
      </c>
      <c r="J147" s="17">
        <f>'Datos Actividad'!$V143*'FE Sectorial'!$H146*'FE Sectorial'!K146/1000/1000</f>
        <v>0</v>
      </c>
      <c r="K147" s="17">
        <f>'Datos Actividad'!$V143*'FE Sectorial'!$H146*'FE Sectorial'!L146/1000/1000</f>
        <v>0</v>
      </c>
      <c r="L147" s="17">
        <f>'Datos Actividad'!$V143*'FE Sectorial'!$H146*'FE Sectorial'!M146/1000/1000</f>
        <v>0</v>
      </c>
      <c r="M147" s="17">
        <f>'Datos Actividad'!$V143*'FE Sectorial'!$H146*'FE Sectorial'!N146/1000/1000</f>
        <v>0</v>
      </c>
      <c r="N147" s="17">
        <f>'Datos Actividad'!$V143*'FE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Actividad'!$V144*'FE Sectorial'!$H147*'FE Sectorial'!I147*'FE Sectorial'!P147/1000</f>
        <v>7748781.7129411753</v>
      </c>
      <c r="I148" s="17">
        <f>'Datos Actividad'!$V144*'FE Sectorial'!$H147*'FE Sectorial'!J147/1000/1000</f>
        <v>316.88470588235293</v>
      </c>
      <c r="J148" s="17">
        <f>'Datos Actividad'!$V144*'FE Sectorial'!$H147*'FE Sectorial'!K147/1000/1000</f>
        <v>63.376941176470588</v>
      </c>
      <c r="K148" s="17">
        <f>'Datos Actividad'!$V144*'FE Sectorial'!$H147*'FE Sectorial'!L147/1000/1000</f>
        <v>126753.88235294117</v>
      </c>
      <c r="L148" s="17">
        <f>'Datos Actividad'!$V144*'FE Sectorial'!$H147*'FE Sectorial'!M147/1000/1000</f>
        <v>105628.23529411765</v>
      </c>
      <c r="M148" s="17">
        <f>'Datos Actividad'!$V144*'FE Sectorial'!$H147*'FE Sectorial'!N147/1000/1000</f>
        <v>21125.647058823528</v>
      </c>
      <c r="N148" s="17">
        <f>'Datos Actividad'!$V144*'FE Sectorial'!$H147*'FE Sectorial'!O147/1000/1000</f>
        <v>3832.0941176470587</v>
      </c>
      <c r="O148" s="87">
        <f>IF(D148&lt;400,H148+I148*'Factores generales'!$M$41+J148*'Factores generales'!$N$41,I148*'Factores generales'!$M$41+J148*'Factores generales'!$N$41)</f>
        <v>7775083.1435294105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Actividad'!$V145*'FE Sectorial'!$H148*'FE Sectorial'!I148*'FE Sectorial'!P148/1000</f>
        <v>0</v>
      </c>
      <c r="I149" s="17">
        <f>'Datos Actividad'!$V145*'FE Sectorial'!$H148*'FE Sectorial'!J148/1000/1000</f>
        <v>0</v>
      </c>
      <c r="J149" s="17">
        <f>'Datos Actividad'!$V145*'FE Sectorial'!$H148*'FE Sectorial'!K148/1000/1000</f>
        <v>0</v>
      </c>
      <c r="K149" s="17">
        <f>'Datos Actividad'!$V145*'FE Sectorial'!$H148*'FE Sectorial'!L148/1000/1000</f>
        <v>0</v>
      </c>
      <c r="L149" s="17">
        <f>'Datos Actividad'!$V145*'FE Sectorial'!$H148*'FE Sectorial'!M148/1000/1000</f>
        <v>0</v>
      </c>
      <c r="M149" s="17">
        <f>'Datos Actividad'!$V145*'FE Sectorial'!$H148*'FE Sectorial'!N148/1000/1000</f>
        <v>0</v>
      </c>
      <c r="N149" s="17">
        <f>'Datos Actividad'!$V145*'FE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Actividad'!$V147*'FE Sectorial'!$H150*'FE Sectorial'!I150*'FE Sectorial'!P150/1000</f>
        <v>0</v>
      </c>
      <c r="I151" s="134">
        <f>'Datos Actividad'!$V147*'FE Sectorial'!$H150*'FE Sectorial'!J150/1000/1000</f>
        <v>0</v>
      </c>
      <c r="J151" s="134">
        <f>'Datos Actividad'!$V147*'FE Sectorial'!$H150*'FE Sectorial'!K150/1000/1000</f>
        <v>0</v>
      </c>
      <c r="K151" s="134">
        <f>'Datos Actividad'!$V147*'FE Sectorial'!$H150*'FE Sectorial'!L150/1000/1000</f>
        <v>0</v>
      </c>
      <c r="L151" s="134">
        <f>'Datos Actividad'!$V147*'FE Sectorial'!$H150*'FE Sectorial'!M150/1000/1000</f>
        <v>0</v>
      </c>
      <c r="M151" s="134">
        <f>'Datos Actividad'!$V147*'FE Sectorial'!$H150*'FE Sectorial'!N150/1000/1000</f>
        <v>0</v>
      </c>
      <c r="N151" s="134">
        <f>'Datos Actividad'!$V147*'FE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Actividad'!$V148*'FE Sectorial'!$H151*'FE Sectorial'!I151*'FE Sectorial'!P151/1000</f>
        <v>0</v>
      </c>
      <c r="I152" s="134">
        <f>'Datos Actividad'!$V148*'FE Sectorial'!$H151*'FE Sectorial'!J151/1000/1000</f>
        <v>0</v>
      </c>
      <c r="J152" s="134">
        <f>'Datos Actividad'!$V148*'FE Sectorial'!$H151*'FE Sectorial'!K151/1000/1000</f>
        <v>0</v>
      </c>
      <c r="K152" s="134">
        <f>'Datos Actividad'!$V148*'FE Sectorial'!$H151*'FE Sectorial'!L151/1000/1000</f>
        <v>0</v>
      </c>
      <c r="L152" s="134">
        <f>'Datos Actividad'!$V148*'FE Sectorial'!$H151*'FE Sectorial'!M151/1000/1000</f>
        <v>0</v>
      </c>
      <c r="M152" s="134">
        <f>'Datos Actividad'!$V148*'FE Sectorial'!$H151*'FE Sectorial'!N151/1000/1000</f>
        <v>0</v>
      </c>
      <c r="N152" s="134">
        <f>'Datos Actividad'!$V148*'FE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4092005.6531679374</v>
      </c>
      <c r="I153" s="124">
        <f t="shared" ref="I153:N153" si="41">I154+I168</f>
        <v>258081.40642292015</v>
      </c>
      <c r="J153" s="124">
        <f t="shared" si="41"/>
        <v>33.65960500112795</v>
      </c>
      <c r="K153" s="124">
        <f t="shared" si="41"/>
        <v>1316.5618430649729</v>
      </c>
      <c r="L153" s="124">
        <f t="shared" si="41"/>
        <v>2106.4904800000004</v>
      </c>
      <c r="M153" s="124">
        <f t="shared" si="41"/>
        <v>106947.73290574404</v>
      </c>
      <c r="N153" s="124">
        <f t="shared" si="41"/>
        <v>21064.9048</v>
      </c>
      <c r="O153" s="124">
        <f>IF(D153&lt;400,H153+I153*'Factores generales'!$M$41+J153*'Factores generales'!$N$41,I153*'Factores generales'!$M$41+J153*'Factores generales'!$N$41)</f>
        <v>9522149.6655996107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4092005.6531679374</v>
      </c>
      <c r="I168" s="129">
        <f t="shared" ref="I168:O168" si="44">I169+I188+I204</f>
        <v>255369.81504256109</v>
      </c>
      <c r="J168" s="129">
        <f t="shared" si="44"/>
        <v>33.65960500112795</v>
      </c>
      <c r="K168" s="129">
        <f t="shared" si="44"/>
        <v>1316.5618430649729</v>
      </c>
      <c r="L168" s="129">
        <f t="shared" si="44"/>
        <v>2106.4904800000004</v>
      </c>
      <c r="M168" s="129">
        <f t="shared" si="44"/>
        <v>106947.73290574404</v>
      </c>
      <c r="N168" s="129">
        <f t="shared" si="44"/>
        <v>21064.9048</v>
      </c>
      <c r="O168" s="129">
        <f t="shared" si="44"/>
        <v>9465206.2466120683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57846.285661338086</v>
      </c>
      <c r="I169" s="134">
        <f t="shared" ref="I169:O169" si="45">SUM(I170:I187)</f>
        <v>14681.85875720695</v>
      </c>
      <c r="J169" s="134">
        <f t="shared" si="45"/>
        <v>0.41133781348181447</v>
      </c>
      <c r="K169" s="134">
        <f t="shared" si="45"/>
        <v>1316.5618430649729</v>
      </c>
      <c r="L169" s="134">
        <f t="shared" si="45"/>
        <v>2106.4904800000004</v>
      </c>
      <c r="M169" s="134">
        <f t="shared" si="45"/>
        <v>67339.15838070937</v>
      </c>
      <c r="N169" s="134">
        <f t="shared" si="45"/>
        <v>21064.9048</v>
      </c>
      <c r="O169" s="134">
        <f t="shared" si="45"/>
        <v>366292.83428486332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Actividad'!$V167*'FE Sectorial'!I170*1000</f>
        <v>2229.7472483871175</v>
      </c>
      <c r="I171" s="92">
        <f>'Datos Actividad'!$V167*'FE Sectorial'!J170*1000</f>
        <v>47.347182066362485</v>
      </c>
      <c r="J171" s="92">
        <f>'Datos Actividad'!$V167*'FE Sectorial'!K170*1000</f>
        <v>1.6409753197412811E-2</v>
      </c>
      <c r="K171" s="92">
        <f>'Datos Actividad'!$V167*'FE Sectorial'!L170*1000</f>
        <v>0</v>
      </c>
      <c r="L171" s="92">
        <f>'Datos Actividad'!$V167*'FE Sectorial'!M170*1000</f>
        <v>0</v>
      </c>
      <c r="M171" s="92">
        <f>'Datos Actividad'!$V167*'FE Sectorial'!N170*1000</f>
        <v>7.2957015883165566</v>
      </c>
      <c r="N171" s="92">
        <f>'Datos Actividad'!$V167*'FE Sectorial'!O170*1000</f>
        <v>0</v>
      </c>
      <c r="O171" s="87">
        <f>IF(D171&lt;400,H171+I171*'Factores generales'!$M$41+J171*'Factores generales'!$N$41,I171*'Factores generales'!$M$41+J171*'Factores generales'!$N$41)</f>
        <v>3229.1250952719279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Actividad'!$V168*'FE Sectorial'!I171*1000</f>
        <v>4310.8446802150938</v>
      </c>
      <c r="I172" s="92">
        <f>'Datos Actividad'!$V168*'FE Sectorial'!J171*1000</f>
        <v>91.537885328300803</v>
      </c>
      <c r="J172" s="92">
        <f>'Datos Actividad'!$V168*'FE Sectorial'!K171*1000</f>
        <v>3.1725522848331432E-2</v>
      </c>
      <c r="K172" s="92">
        <f>'Datos Actividad'!$V168*'FE Sectorial'!L171*1000</f>
        <v>0</v>
      </c>
      <c r="L172" s="92">
        <f>'Datos Actividad'!$V168*'FE Sectorial'!M171*1000</f>
        <v>0</v>
      </c>
      <c r="M172" s="92">
        <f>'Datos Actividad'!$V168*'FE Sectorial'!N171*1000</f>
        <v>14.105023070745343</v>
      </c>
      <c r="N172" s="92">
        <f>'Datos Actividad'!$V168*'FE Sectorial'!O171*1000</f>
        <v>0</v>
      </c>
      <c r="O172" s="87">
        <f>IF(D172&lt;400,H172+I172*'Factores generales'!$M$41+J172*'Factores generales'!$N$41,I172*'Factores generales'!$M$41+J172*'Factores generales'!$N$41)</f>
        <v>6242.9751841923935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Actividad'!$V169*'FE Sectorial'!I172*1000</f>
        <v>49351.739097634854</v>
      </c>
      <c r="I173" s="92">
        <f>'Datos Actividad'!$V169*'FE Sectorial'!J172*1000</f>
        <v>1047.9509630688231</v>
      </c>
      <c r="J173" s="92">
        <f>'Datos Actividad'!$V169*'FE Sectorial'!K172*1000</f>
        <v>0.36320253743607023</v>
      </c>
      <c r="K173" s="92">
        <f>'Datos Actividad'!$V169*'FE Sectorial'!L172*1000</f>
        <v>0</v>
      </c>
      <c r="L173" s="92">
        <f>'Datos Actividad'!$V169*'FE Sectorial'!M172*1000</f>
        <v>0</v>
      </c>
      <c r="M173" s="92">
        <f>'Datos Actividad'!$V169*'FE Sectorial'!N172*1000</f>
        <v>161.47819515473981</v>
      </c>
      <c r="N173" s="92">
        <f>'Datos Actividad'!$V169*'FE Sectorial'!O172*1000</f>
        <v>0</v>
      </c>
      <c r="O173" s="87">
        <f>IF(D173&lt;400,H173+I173*'Factores generales'!$M$41+J173*'Factores generales'!$N$41,I173*'Factores generales'!$M$41+J173*'Factores generales'!$N$41)</f>
        <v>71471.302108685311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Actividad'!$V171*'FE Sectorial'!I174</f>
        <v>907.77046000204211</v>
      </c>
      <c r="I175" s="92">
        <f>'Datos Actividad'!$V171*'FE Sectorial'!J174</f>
        <v>12521.799065999998</v>
      </c>
      <c r="J175" s="92">
        <f>'Datos Actividad'!$V171*'FE Sectorial'!K174</f>
        <v>0</v>
      </c>
      <c r="K175" s="92">
        <f>'Datos Actividad'!$V171*'FE Sectorial'!L174</f>
        <v>0</v>
      </c>
      <c r="L175" s="92">
        <f>'Datos Actividad'!$V171*'FE Sectorial'!M174</f>
        <v>0</v>
      </c>
      <c r="M175" s="92">
        <f>'Datos Actividad'!$V171*'FE Sectorial'!N174</f>
        <v>15336.00918667949</v>
      </c>
      <c r="N175" s="92">
        <f>'Datos Actividad'!$V171*'FE Sectorial'!O174</f>
        <v>0</v>
      </c>
      <c r="O175" s="87">
        <f>IF(D175&lt;400,H175+I175*'Factores generales'!$M$41+J175*'Factores generales'!$N$41,I175*'Factores generales'!$M$41+J175*'Factores generales'!$N$41)</f>
        <v>263865.55084600201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Actividad'!$V173*'FE Sectorial'!I176</f>
        <v>0</v>
      </c>
      <c r="I177" s="92">
        <f>'Datos Actividad'!$V173*'FE Sectorial'!J176</f>
        <v>502.10710089421843</v>
      </c>
      <c r="J177" s="92">
        <f>'Datos Actividad'!$V173*'FE Sectorial'!K176</f>
        <v>0</v>
      </c>
      <c r="K177" s="92">
        <f>'Datos Actividad'!$V173*'FE Sectorial'!L176</f>
        <v>0</v>
      </c>
      <c r="L177" s="92">
        <f>'Datos Actividad'!$V173*'FE Sectorial'!M176</f>
        <v>0</v>
      </c>
      <c r="M177" s="92">
        <f>'Datos Actividad'!$V173*'FE Sectorial'!N176</f>
        <v>0</v>
      </c>
      <c r="N177" s="92">
        <f>'Datos Actividad'!$V173*'FE Sectorial'!O176</f>
        <v>0</v>
      </c>
      <c r="O177" s="87">
        <f>IF(D177&lt;400,H177+I177*'Factores generales'!$M$41+J177*'Factores generales'!$N$41,I177*'Factores generales'!$M$41+J177*'Factores generales'!$N$41)</f>
        <v>10544.249118778587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Actividad'!$V174*'FE Sectorial'!I177</f>
        <v>11.630566772654824</v>
      </c>
      <c r="I178" s="92">
        <f>'Datos Actividad'!$V174*'FE Sectorial'!J177</f>
        <v>128.17359300476744</v>
      </c>
      <c r="J178" s="92">
        <f>'Datos Actividad'!$V174*'FE Sectorial'!K177</f>
        <v>0</v>
      </c>
      <c r="K178" s="92">
        <f>'Datos Actividad'!$V174*'FE Sectorial'!L177</f>
        <v>0</v>
      </c>
      <c r="L178" s="92">
        <f>'Datos Actividad'!$V174*'FE Sectorial'!M177</f>
        <v>0</v>
      </c>
      <c r="M178" s="92">
        <f>'Datos Actividad'!$V174*'FE Sectorial'!N177</f>
        <v>1281.7359300476746</v>
      </c>
      <c r="N178" s="92">
        <f>'Datos Actividad'!$V174*'FE Sectorial'!O177</f>
        <v>0</v>
      </c>
      <c r="O178" s="87">
        <f>IF(D178&lt;400,H178+I178*'Factores generales'!$M$41+J178*'Factores generales'!$N$41,I178*'Factores generales'!$M$41+J178*'Factores generales'!$N$41)</f>
        <v>2703.276019872771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Actividad'!$V177*'FE Sectorial'!I180</f>
        <v>0</v>
      </c>
      <c r="I181" s="92">
        <f>'Datos Actividad'!$V177*'FE Sectorial'!J180</f>
        <v>271.86175495680624</v>
      </c>
      <c r="J181" s="92">
        <f>'Datos Actividad'!$V177*'FE Sectorial'!K180</f>
        <v>0</v>
      </c>
      <c r="K181" s="92">
        <f>'Datos Actividad'!$V177*'FE Sectorial'!L180</f>
        <v>1316.55655</v>
      </c>
      <c r="L181" s="92">
        <f>'Datos Actividad'!$V177*'FE Sectorial'!M180</f>
        <v>2106.4904800000004</v>
      </c>
      <c r="M181" s="92">
        <f>'Datos Actividad'!$V177*'FE Sectorial'!N180</f>
        <v>34230.470300000001</v>
      </c>
      <c r="N181" s="92">
        <f>'Datos Actividad'!$V177*'FE Sectorial'!O180</f>
        <v>21064.9048</v>
      </c>
      <c r="O181" s="87">
        <f>IF(D181&lt;400,H181+I181*'Factores generales'!$M$41+J181*'Factores generales'!$N$41,I181*'Factores generales'!$M$41+J181*'Factores generales'!$N$41)</f>
        <v>5709.0968540929307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Actividad'!$V179*'FE Sectorial'!I182</f>
        <v>0</v>
      </c>
      <c r="I183" s="92">
        <f>'Datos Actividad'!$V179*'FE Sectorial'!J182</f>
        <v>71.081211887674272</v>
      </c>
      <c r="J183" s="92">
        <f>'Datos Actividad'!$V179*'FE Sectorial'!K182</f>
        <v>0</v>
      </c>
      <c r="K183" s="92">
        <f>'Datos Actividad'!$V179*'FE Sectorial'!L182</f>
        <v>0</v>
      </c>
      <c r="L183" s="92">
        <f>'Datos Actividad'!$V179*'FE Sectorial'!M182</f>
        <v>0</v>
      </c>
      <c r="M183" s="92">
        <f>'Datos Actividad'!$V179*'FE Sectorial'!N182</f>
        <v>0</v>
      </c>
      <c r="N183" s="92">
        <f>'Datos Actividad'!$V179*'FE Sectorial'!O182</f>
        <v>0</v>
      </c>
      <c r="O183" s="87">
        <f>IF(D183&lt;400,H183+I183*'Factores generales'!$M$41+J183*'Factores generales'!$N$41,I183*'Factores generales'!$M$41+J183*'Factores generales'!$N$41)</f>
        <v>1492.7054496411597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Actividad'!$V181*'FE Sectorial'!I184</f>
        <v>0</v>
      </c>
      <c r="I185" s="92">
        <f>'Datos Actividad'!$V181*'FE Sectorial'!J184</f>
        <v>0</v>
      </c>
      <c r="J185" s="92">
        <f>'Datos Actividad'!$V181*'FE Sectorial'!K184</f>
        <v>0</v>
      </c>
      <c r="K185" s="92">
        <f>'Datos Actividad'!$V181*'FE Sectorial'!L184</f>
        <v>0</v>
      </c>
      <c r="L185" s="92">
        <f>'Datos Actividad'!$V181*'FE Sectorial'!M184</f>
        <v>0</v>
      </c>
      <c r="M185" s="92">
        <f>'Datos Actividad'!$V181*'FE Sectorial'!N184</f>
        <v>16308.064044168395</v>
      </c>
      <c r="N185" s="92">
        <f>'Datos Actividad'!$V181*'FE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Actividad'!$V182*'FE Sectorial'!I185</f>
        <v>1034.553608326318</v>
      </c>
      <c r="I186" s="92">
        <f>'Datos Actividad'!$V182*'FE Sectorial'!J185</f>
        <v>0</v>
      </c>
      <c r="J186" s="92">
        <f>'Datos Actividad'!$V182*'FE Sectorial'!K185</f>
        <v>0</v>
      </c>
      <c r="K186" s="92">
        <f>'Datos Actividad'!$V182*'FE Sectorial'!L185</f>
        <v>5.2930649728323252E-3</v>
      </c>
      <c r="L186" s="92">
        <f>'Datos Actividad'!$V182*'FE Sectorial'!M185</f>
        <v>0</v>
      </c>
      <c r="M186" s="92">
        <f>'Datos Actividad'!$V182*'FE Sectorial'!N185</f>
        <v>0</v>
      </c>
      <c r="N186" s="92">
        <f>'Datos Actividad'!$V182*'FE Sectorial'!O185</f>
        <v>0</v>
      </c>
      <c r="O186" s="87">
        <f>IF(D186&lt;400,H186+I186*'Factores generales'!$M$41+J186*'Factores generales'!$N$41,I186*'Factores generales'!$M$41+J186*'Factores generales'!$N$41)</f>
        <v>1034.553608326318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3932.2885067036877</v>
      </c>
      <c r="I188" s="134">
        <f t="shared" ref="I188:O188" si="46">SUM(I189:I203)</f>
        <v>199587.74506866882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17296.608300011016</v>
      </c>
      <c r="N188" s="134">
        <f t="shared" si="46"/>
        <v>0</v>
      </c>
      <c r="O188" s="134">
        <f t="shared" si="46"/>
        <v>4195274.9349487489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Actividad'!$V187*'FE Sectorial'!I190</f>
        <v>1528.1350648200569</v>
      </c>
      <c r="I191" s="92">
        <f>'Datos Actividad'!$V187*'FE Sectorial'!J190</f>
        <v>91930.345008567048</v>
      </c>
      <c r="J191" s="92">
        <f>'Datos Actividad'!$V187*'FE Sectorial'!K190</f>
        <v>0</v>
      </c>
      <c r="K191" s="92">
        <f>'Datos Actividad'!$V187*'FE Sectorial'!L190</f>
        <v>0</v>
      </c>
      <c r="L191" s="92">
        <f>'Datos Actividad'!$V187*'FE Sectorial'!M190</f>
        <v>0</v>
      </c>
      <c r="M191" s="92">
        <f>'Datos Actividad'!$V187*'FE Sectorial'!N190</f>
        <v>10059.416499367444</v>
      </c>
      <c r="N191" s="92">
        <f>'Datos Actividad'!$V187*'FE Sectorial'!O190</f>
        <v>0</v>
      </c>
      <c r="O191" s="87">
        <f>IF(D191&lt;400,H191+I191*'Factores generales'!$M$41+J191*'Factores generales'!$N$41,I191*'Factores generales'!$M$41+J191*'Factores generales'!$N$41)</f>
        <v>1932065.3802447282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Actividad'!$V189*'FE Sectorial'!I192</f>
        <v>557.99603061104278</v>
      </c>
      <c r="I193" s="92">
        <f>'Datos Actividad'!$V189*'FE Sectorial'!J192</f>
        <v>6974.9503826380369</v>
      </c>
      <c r="J193" s="92">
        <f>'Datos Actividad'!$V189*'FE Sectorial'!K192</f>
        <v>0</v>
      </c>
      <c r="K193" s="92">
        <f>'Datos Actividad'!$V189*'FE Sectorial'!L192</f>
        <v>0</v>
      </c>
      <c r="L193" s="92">
        <f>'Datos Actividad'!$V189*'FE Sectorial'!M192</f>
        <v>0</v>
      </c>
      <c r="M193" s="92">
        <f>'Datos Actividad'!$V189*'FE Sectorial'!N192</f>
        <v>6443.1831696005656</v>
      </c>
      <c r="N193" s="92">
        <f>'Datos Actividad'!$V189*'FE Sectorial'!O192</f>
        <v>0</v>
      </c>
      <c r="O193" s="87">
        <f>IF(D193&lt;400,H193+I193*'Factores generales'!$M$41+J193*'Factores generales'!$N$41,I193*'Factores generales'!$M$41+J193*'Factores generales'!$N$41)</f>
        <v>147031.95406600981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Actividad'!$V192*'FE Sectorial'!I195</f>
        <v>37.677399560078939</v>
      </c>
      <c r="I196" s="92">
        <f>'Datos Actividad'!$V192*'FE Sectorial'!J195</f>
        <v>11723.038657079045</v>
      </c>
      <c r="J196" s="92">
        <f>'Datos Actividad'!$V192*'FE Sectorial'!K195</f>
        <v>0</v>
      </c>
      <c r="K196" s="92">
        <f>'Datos Actividad'!$V192*'FE Sectorial'!L195</f>
        <v>0</v>
      </c>
      <c r="L196" s="92">
        <f>'Datos Actividad'!$V192*'FE Sectorial'!M195</f>
        <v>0</v>
      </c>
      <c r="M196" s="92">
        <f>'Datos Actividad'!$V192*'FE Sectorial'!N195</f>
        <v>280.34851104300628</v>
      </c>
      <c r="N196" s="92">
        <f>'Datos Actividad'!$V192*'FE Sectorial'!O195</f>
        <v>0</v>
      </c>
      <c r="O196" s="87">
        <f>IF(D196&lt;400,H196+I196*'Factores generales'!$M$41+J196*'Factores generales'!$N$41,I196*'Factores generales'!$M$41+J196*'Factores generales'!$N$41)</f>
        <v>246221.48919822002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Actividad'!$V194*'FE Sectorial'!I197</f>
        <v>1808.4800117125094</v>
      </c>
      <c r="I198" s="92">
        <f>'Datos Actividad'!$V194*'FE Sectorial'!J197</f>
        <v>35492.039329352701</v>
      </c>
      <c r="J198" s="92">
        <f>'Datos Actividad'!$V194*'FE Sectorial'!K197</f>
        <v>0</v>
      </c>
      <c r="K198" s="92">
        <f>'Datos Actividad'!$V194*'FE Sectorial'!L197</f>
        <v>0</v>
      </c>
      <c r="L198" s="92">
        <f>'Datos Actividad'!$V194*'FE Sectorial'!M197</f>
        <v>0</v>
      </c>
      <c r="M198" s="92">
        <f>'Datos Actividad'!$V194*'FE Sectorial'!N197</f>
        <v>513.66012000000012</v>
      </c>
      <c r="N198" s="92">
        <f>'Datos Actividad'!$V194*'FE Sectorial'!O197</f>
        <v>0</v>
      </c>
      <c r="O198" s="87">
        <f>IF(D198&lt;400,H198+I198*'Factores generales'!$M$41+J198*'Factores generales'!$N$41,I198*'Factores generales'!$M$41+J198*'Factores generales'!$N$41)</f>
        <v>747141.30592811923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Actividad'!$V197*'FE Sectorial'!I200</f>
        <v>0</v>
      </c>
      <c r="I201" s="92">
        <f>'Datos Actividad'!$V197*'FE Sectorial'!J200</f>
        <v>42705.606946799999</v>
      </c>
      <c r="J201" s="92">
        <f>'Datos Actividad'!$V197*'FE Sectorial'!K200</f>
        <v>0</v>
      </c>
      <c r="K201" s="92">
        <f>'Datos Actividad'!$V197*'FE Sectorial'!L200</f>
        <v>0</v>
      </c>
      <c r="L201" s="92">
        <f>'Datos Actividad'!$V197*'FE Sectorial'!M200</f>
        <v>0</v>
      </c>
      <c r="M201" s="92">
        <f>'Datos Actividad'!$V197*'FE Sectorial'!N200</f>
        <v>0</v>
      </c>
      <c r="N201" s="92">
        <f>'Datos Actividad'!$V197*'FE Sectorial'!O200</f>
        <v>0</v>
      </c>
      <c r="O201" s="87">
        <f>IF(D201&lt;400,H201+I201*'Factores generales'!$M$41+J201*'Factores generales'!$N$41,I201*'Factores generales'!$M$41+J201*'Factores generales'!$N$41)</f>
        <v>896817.74588279997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Actividad'!$V199*'FE Sectorial'!I202</f>
        <v>0</v>
      </c>
      <c r="I203" s="92">
        <f>'Datos Actividad'!$V199*'FE Sectorial'!J202</f>
        <v>10761.764744231999</v>
      </c>
      <c r="J203" s="92">
        <f>'Datos Actividad'!$V199*'FE Sectorial'!K202</f>
        <v>0</v>
      </c>
      <c r="K203" s="92">
        <f>'Datos Actividad'!$V199*'FE Sectorial'!L202</f>
        <v>0</v>
      </c>
      <c r="L203" s="92">
        <f>'Datos Actividad'!$V199*'FE Sectorial'!M202</f>
        <v>0</v>
      </c>
      <c r="M203" s="92">
        <f>'Datos Actividad'!$V199*'FE Sectorial'!N202</f>
        <v>0</v>
      </c>
      <c r="N203" s="92">
        <f>'Datos Actividad'!$V199*'FE Sectorial'!O202</f>
        <v>0</v>
      </c>
      <c r="O203" s="87">
        <f>IF(D203&lt;400,H203+I203*'Factores generales'!$M$41+J203*'Factores generales'!$N$41,I203*'Factores generales'!$M$41+J203*'Factores generales'!$N$41)</f>
        <v>225997.059628872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4030227.0789998956</v>
      </c>
      <c r="I204" s="134">
        <f t="shared" ref="I204:O204" si="47">SUM(I205:I221)</f>
        <v>41100.211216685326</v>
      </c>
      <c r="J204" s="134">
        <f t="shared" si="47"/>
        <v>33.248267187646135</v>
      </c>
      <c r="K204" s="134">
        <f t="shared" si="47"/>
        <v>0</v>
      </c>
      <c r="L204" s="134">
        <f t="shared" si="47"/>
        <v>0</v>
      </c>
      <c r="M204" s="134">
        <f t="shared" si="47"/>
        <v>22311.966225023658</v>
      </c>
      <c r="N204" s="134">
        <f t="shared" si="47"/>
        <v>0</v>
      </c>
      <c r="O204" s="134">
        <f t="shared" si="47"/>
        <v>4903638.4773784569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Actividad'!$V203*'FE Sectorial'!I206</f>
        <v>4638.5148848629815</v>
      </c>
      <c r="I207" s="92">
        <f>'Datos Actividad'!$V203*'FE Sectorial'!J206</f>
        <v>35239.466208305217</v>
      </c>
      <c r="J207" s="92">
        <f>'Datos Actividad'!$V203*'FE Sectorial'!K206</f>
        <v>0</v>
      </c>
      <c r="K207" s="92">
        <f>'Datos Actividad'!$V203*'FE Sectorial'!L206</f>
        <v>0</v>
      </c>
      <c r="L207" s="92">
        <f>'Datos Actividad'!$V203*'FE Sectorial'!M206</f>
        <v>0</v>
      </c>
      <c r="M207" s="92">
        <f>'Datos Actividad'!$V203*'FE Sectorial'!N206</f>
        <v>21023.533410115528</v>
      </c>
      <c r="N207" s="92">
        <f>'Datos Actividad'!$V203*'FE Sectorial'!O206</f>
        <v>0</v>
      </c>
      <c r="O207" s="87">
        <f>IF(D207&lt;400,H207+I207*'Factores generales'!$M$41+J207*'Factores generales'!$N$41,I207*'Factores generales'!$M$41+J207*'Factores generales'!$N$41)</f>
        <v>744667.30525927246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Actividad'!$V205*'FE Sectorial'!I208</f>
        <v>2000006.5484502327</v>
      </c>
      <c r="I209" s="92">
        <f>'Datos Actividad'!$V205*'FE Sectorial'!J208</f>
        <v>1216.9001331794136</v>
      </c>
      <c r="J209" s="92">
        <f>'Datos Actividad'!$V205*'FE Sectorial'!K208</f>
        <v>31.323969962937976</v>
      </c>
      <c r="K209" s="92">
        <f>'Datos Actividad'!$V205*'FE Sectorial'!L208</f>
        <v>0</v>
      </c>
      <c r="L209" s="92">
        <f>'Datos Actividad'!$V205*'FE Sectorial'!M208</f>
        <v>0</v>
      </c>
      <c r="M209" s="92">
        <f>'Datos Actividad'!$V205*'FE Sectorial'!N208</f>
        <v>1030.0400756831993</v>
      </c>
      <c r="N209" s="92">
        <f>'Datos Actividad'!$V205*'FE Sectorial'!O208</f>
        <v>0</v>
      </c>
      <c r="O209" s="87">
        <f>IF(D209&lt;400,H209+I209*'Factores generales'!$M$41+J209*'Factores generales'!$N$41,I209*'Factores generales'!$M$41+J209*'Factores generales'!$N$41)</f>
        <v>2035271.8819355113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Actividad'!$V209*'FE Sectorial'!I212</f>
        <v>1876520.309575031</v>
      </c>
      <c r="I213" s="92">
        <f>'Datos Actividad'!$V209*'FE Sectorial'!J212</f>
        <v>0</v>
      </c>
      <c r="J213" s="92">
        <f>'Datos Actividad'!$V209*'FE Sectorial'!K212</f>
        <v>0</v>
      </c>
      <c r="K213" s="92">
        <f>'Datos Actividad'!$V209*'FE Sectorial'!L212</f>
        <v>0</v>
      </c>
      <c r="L213" s="92">
        <f>'Datos Actividad'!$V209*'FE Sectorial'!M212</f>
        <v>0</v>
      </c>
      <c r="M213" s="92">
        <f>'Datos Actividad'!$V209*'FE Sectorial'!N212</f>
        <v>0</v>
      </c>
      <c r="N213" s="92">
        <f>'Datos Actividad'!$V209*'FE Sectorial'!O212</f>
        <v>0</v>
      </c>
      <c r="O213" s="87">
        <f>IF(D213&lt;400,H213+I213*'Factores generales'!$M$41+J213*'Factores generales'!$N$41,I213*'Factores generales'!$M$41+J213*'Factores generales'!$N$41)</f>
        <v>1876520.309575031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Actividad'!$V211*'FE Sectorial'!I214</f>
        <v>119.82839851250192</v>
      </c>
      <c r="I215" s="92">
        <f>'Datos Actividad'!$V211*'FE Sectorial'!J214</f>
        <v>4545.2698926884495</v>
      </c>
      <c r="J215" s="92">
        <f>'Datos Actividad'!$V211*'FE Sectorial'!K214</f>
        <v>0</v>
      </c>
      <c r="K215" s="92">
        <f>'Datos Actividad'!$V211*'FE Sectorial'!L214</f>
        <v>0</v>
      </c>
      <c r="L215" s="92">
        <f>'Datos Actividad'!$V211*'FE Sectorial'!M214</f>
        <v>0</v>
      </c>
      <c r="M215" s="92">
        <f>'Datos Actividad'!$V211*'FE Sectorial'!N214</f>
        <v>179.18132201234215</v>
      </c>
      <c r="N215" s="92">
        <f>'Datos Actividad'!$V211*'FE Sectorial'!O214</f>
        <v>0</v>
      </c>
      <c r="O215" s="87">
        <f>IF(D215&lt;400,H215+I215*'Factores generales'!$M$41+J215*'Factores generales'!$N$41,I215*'Factores generales'!$M$41+J215*'Factores generales'!$N$41)</f>
        <v>95570.496144969948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Actividad'!$V214*'FE Sectorial'!I217</f>
        <v>42180.535130228687</v>
      </c>
      <c r="I218" s="92">
        <f>'Datos Actividad'!$V214*'FE Sectorial'!J217</f>
        <v>26.538004718695678</v>
      </c>
      <c r="J218" s="92">
        <f>'Datos Actividad'!$V214*'FE Sectorial'!K217</f>
        <v>0.75122514664183404</v>
      </c>
      <c r="K218" s="92">
        <f>'Datos Actividad'!$V214*'FE Sectorial'!L217</f>
        <v>0</v>
      </c>
      <c r="L218" s="92">
        <f>'Datos Actividad'!$V214*'FE Sectorial'!M217</f>
        <v>0</v>
      </c>
      <c r="M218" s="92">
        <f>'Datos Actividad'!$V214*'FE Sectorial'!N217</f>
        <v>22.098702658244264</v>
      </c>
      <c r="N218" s="92">
        <f>'Datos Actividad'!$V214*'FE Sectorial'!O217</f>
        <v>0</v>
      </c>
      <c r="O218" s="87">
        <f>IF(D218&lt;400,H218+I218*'Factores generales'!$M$41+J218*'Factores generales'!$N$41,I218*'Factores generales'!$M$41+J218*'Factores generales'!$N$41)</f>
        <v>42970.713024780263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Actividad'!$V216*'FE Sectorial'!I219</f>
        <v>106761.34256102686</v>
      </c>
      <c r="I220" s="92">
        <f>'Datos Actividad'!$V216*'FE Sectorial'!J219</f>
        <v>72.036977793547095</v>
      </c>
      <c r="J220" s="92">
        <f>'Datos Actividad'!$V216*'FE Sectorial'!K219</f>
        <v>1.173072078066328</v>
      </c>
      <c r="K220" s="92">
        <f>'Datos Actividad'!$V216*'FE Sectorial'!L219</f>
        <v>0</v>
      </c>
      <c r="L220" s="92">
        <f>'Datos Actividad'!$V216*'FE Sectorial'!M219</f>
        <v>0</v>
      </c>
      <c r="M220" s="92">
        <f>'Datos Actividad'!$V216*'FE Sectorial'!N219</f>
        <v>57.112714554345693</v>
      </c>
      <c r="N220" s="92">
        <f>'Datos Actividad'!$V216*'FE Sectorial'!O219</f>
        <v>0</v>
      </c>
      <c r="O220" s="87">
        <f>IF(D220&lt;400,H220+I220*'Factores generales'!$M$41+J220*'Factores generales'!$N$41,I220*'Factores generales'!$M$41+J220*'Factores generales'!$N$41)</f>
        <v>108637.77143889191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9259526.961088419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3718501.2069653142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2079080.3941601245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1639420.81280519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 t="s">
        <v>267</v>
      </c>
      <c r="C1" s="144"/>
      <c r="D1" s="145"/>
      <c r="E1" s="144"/>
      <c r="F1" s="144"/>
      <c r="G1" s="144"/>
      <c r="H1" s="146">
        <f>H5/110283000-1</f>
        <v>9.8471655346419329E-3</v>
      </c>
      <c r="I1" s="146">
        <f>+I5/522300-1</f>
        <v>-0.51507326748685067</v>
      </c>
      <c r="J1" s="146">
        <f>+J5/2330-1</f>
        <v>0.55495430167174575</v>
      </c>
      <c r="K1" s="146">
        <f>+K5/625680-1</f>
        <v>3.1386099764656228E-2</v>
      </c>
      <c r="L1" s="146">
        <f>+L5/3597720-1</f>
        <v>-0.30089395508541517</v>
      </c>
      <c r="M1" s="146">
        <f>+M5/426510-1</f>
        <v>0.2080554808038988</v>
      </c>
      <c r="N1" s="146">
        <f>+N5/(74710+18000)-1</f>
        <v>-4.9781131203491591E-2</v>
      </c>
      <c r="O1" s="146">
        <f>+O5/121973790-1</f>
        <v>-3.4129050765919544E-2</v>
      </c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111368974.95665692</v>
      </c>
      <c r="I5" s="138">
        <f t="shared" si="0"/>
        <v>253277.2323916179</v>
      </c>
      <c r="J5" s="138">
        <f t="shared" si="0"/>
        <v>3623.0435228951678</v>
      </c>
      <c r="K5" s="138">
        <f t="shared" si="0"/>
        <v>645317.65490075015</v>
      </c>
      <c r="L5" s="138">
        <f t="shared" si="0"/>
        <v>2515187.7999101002</v>
      </c>
      <c r="M5" s="138">
        <f t="shared" si="0"/>
        <v>515247.74311767088</v>
      </c>
      <c r="N5" s="138">
        <f t="shared" si="0"/>
        <v>88094.791326124294</v>
      </c>
      <c r="O5" s="138">
        <f t="shared" si="0"/>
        <v>117810940.32897839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107624004.04316269</v>
      </c>
      <c r="I6" s="124">
        <f t="shared" si="1"/>
        <v>15046.444493033378</v>
      </c>
      <c r="J6" s="124">
        <f t="shared" si="1"/>
        <v>3591.9585888078045</v>
      </c>
      <c r="K6" s="124">
        <f t="shared" si="1"/>
        <v>643957.9580260783</v>
      </c>
      <c r="L6" s="124">
        <f t="shared" si="1"/>
        <v>2513012.2929501003</v>
      </c>
      <c r="M6" s="124">
        <f t="shared" si="1"/>
        <v>411562.41049539362</v>
      </c>
      <c r="N6" s="124">
        <f t="shared" si="1"/>
        <v>66339.721726124291</v>
      </c>
      <c r="O6" s="124">
        <f t="shared" si="1"/>
        <v>109053486.54004681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26388471.102427058</v>
      </c>
      <c r="I7" s="129">
        <f t="shared" si="2"/>
        <v>598.10480005849183</v>
      </c>
      <c r="J7" s="129">
        <f t="shared" si="2"/>
        <v>122.15680112498201</v>
      </c>
      <c r="K7" s="129">
        <f t="shared" si="2"/>
        <v>71762.71940511046</v>
      </c>
      <c r="L7" s="129">
        <f t="shared" si="2"/>
        <v>8033.2942148788616</v>
      </c>
      <c r="M7" s="129">
        <f t="shared" si="2"/>
        <v>2117.4569366722426</v>
      </c>
      <c r="N7" s="129">
        <f t="shared" si="2"/>
        <v>39497.308004622486</v>
      </c>
      <c r="O7" s="129">
        <f t="shared" si="2"/>
        <v>26438899.911577031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17128092.932524201</v>
      </c>
      <c r="I8" s="134">
        <f t="shared" si="3"/>
        <v>364.65492059999997</v>
      </c>
      <c r="J8" s="134">
        <f t="shared" si="3"/>
        <v>82.632724379999999</v>
      </c>
      <c r="K8" s="134">
        <f t="shared" si="3"/>
        <v>47049.073239999998</v>
      </c>
      <c r="L8" s="134">
        <f t="shared" si="3"/>
        <v>5284.1713140000002</v>
      </c>
      <c r="M8" s="134">
        <f t="shared" si="3"/>
        <v>1376.8463590000001</v>
      </c>
      <c r="N8" s="134">
        <f t="shared" si="3"/>
        <v>29504.070819999997</v>
      </c>
      <c r="O8" s="134">
        <f t="shared" si="3"/>
        <v>17161366.830414601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17128092.932524201</v>
      </c>
      <c r="I9" s="93">
        <f t="shared" ref="I9:O9" si="4">I10+I11+I12+I13+I14</f>
        <v>364.65492059999997</v>
      </c>
      <c r="J9" s="93">
        <f t="shared" si="4"/>
        <v>82.632724379999999</v>
      </c>
      <c r="K9" s="93">
        <f t="shared" si="4"/>
        <v>47049.073239999998</v>
      </c>
      <c r="L9" s="93">
        <f t="shared" si="4"/>
        <v>5284.1713140000002</v>
      </c>
      <c r="M9" s="93">
        <f t="shared" si="4"/>
        <v>1376.8463590000001</v>
      </c>
      <c r="N9" s="93">
        <f t="shared" si="4"/>
        <v>29504.070819999997</v>
      </c>
      <c r="O9" s="93">
        <f t="shared" si="4"/>
        <v>17161366.830414601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Actividad'!$W6*'FE Sectorial'!$H9*'FE Sectorial'!I9*'FE Sectorial'!$P9/1000</f>
        <v>2170319.7747</v>
      </c>
      <c r="I10" s="92">
        <f>'Datos Actividad'!$W6*'FE Sectorial'!$H9*'FE Sectorial'!J9/1000/1000</f>
        <v>23.410275000000002</v>
      </c>
      <c r="J10" s="92">
        <f>'Datos Actividad'!$W6*'FE Sectorial'!$H9*'FE Sectorial'!K9/1000/1000</f>
        <v>35.115412500000005</v>
      </c>
      <c r="K10" s="92">
        <f>'Datos Actividad'!$W6*'FE Sectorial'!$H9*'FE Sectorial'!L9/1000/1000</f>
        <v>7023.0825000000004</v>
      </c>
      <c r="L10" s="92">
        <f>'Datos Actividad'!$W6*'FE Sectorial'!$H9*'FE Sectorial'!M9/1000/1000</f>
        <v>468.20549999999997</v>
      </c>
      <c r="M10" s="92">
        <f>'Datos Actividad'!$W6*'FE Sectorial'!$H9*'FE Sectorial'!N9/1000/1000</f>
        <v>117.05137499999999</v>
      </c>
      <c r="N10" s="92">
        <f>'Datos Actividad'!$W6*'FE Sectorial'!$H9*'FE Sectorial'!O9/1000/1000</f>
        <v>22412.162499999999</v>
      </c>
      <c r="O10" s="92">
        <f>IF(D10&lt;400,H10+I10*'Factores generales'!$M$41+J10*'Factores generales'!$N$41,I10*'Factores generales'!$M$41+J10*'Factores generales'!$N$41)</f>
        <v>2181697.1683499999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Actividad'!$W7*'FE Sectorial'!$H10*'FE Sectorial'!I10*'FE Sectorial'!$P10/1000</f>
        <v>792937.13756399986</v>
      </c>
      <c r="I11" s="17">
        <f>'Datos Actividad'!$W7*'FE Sectorial'!$H10*'FE Sectorial'!J10/1000/1000</f>
        <v>32.426988000000001</v>
      </c>
      <c r="J11" s="17">
        <f>'Datos Actividad'!$W7*'FE Sectorial'!$H10*'FE Sectorial'!K10/1000/1000</f>
        <v>6.4853975999999998</v>
      </c>
      <c r="K11" s="17">
        <f>'Datos Actividad'!$W7*'FE Sectorial'!$H10*'FE Sectorial'!L10/1000/1000</f>
        <v>2161.7992000000004</v>
      </c>
      <c r="L11" s="17">
        <f>'Datos Actividad'!$W7*'FE Sectorial'!$H10*'FE Sectorial'!M10/1000/1000</f>
        <v>162.13494</v>
      </c>
      <c r="M11" s="17">
        <f>'Datos Actividad'!$W7*'FE Sectorial'!$H10*'FE Sectorial'!N10/1000/1000</f>
        <v>54.044980000000002</v>
      </c>
      <c r="N11" s="17">
        <f>'Datos Actividad'!$W7*'FE Sectorial'!$H10*'FE Sectorial'!O10/1000/1000</f>
        <v>392.14032000000003</v>
      </c>
      <c r="O11" s="17">
        <f>IF(D11&lt;400,H11+I11*'Factores generales'!$M$41+J11*'Factores generales'!$N$41,I11*'Factores generales'!$M$41+J11*'Factores generales'!$N$41)</f>
        <v>795628.57756799983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Actividad'!$W8*'FE Sectorial'!$H11*'FE Sectorial'!I11*'FE Sectorial'!$P11/1000</f>
        <v>2592550.9349783999</v>
      </c>
      <c r="I12" s="92">
        <f>'Datos Actividad'!$W8*'FE Sectorial'!$H11*'FE Sectorial'!J11/1000/1000</f>
        <v>101.50148519999998</v>
      </c>
      <c r="J12" s="92">
        <f>'Datos Actividad'!$W8*'FE Sectorial'!$H11*'FE Sectorial'!K11/1000/1000</f>
        <v>20.300297039999997</v>
      </c>
      <c r="K12" s="92">
        <f>'Datos Actividad'!$W8*'FE Sectorial'!$H11*'FE Sectorial'!L11/1000/1000</f>
        <v>6766.7656799999995</v>
      </c>
      <c r="L12" s="92">
        <f>'Datos Actividad'!$W8*'FE Sectorial'!$H11*'FE Sectorial'!M11/1000/1000</f>
        <v>507.50742599999995</v>
      </c>
      <c r="M12" s="92">
        <f>'Datos Actividad'!$W8*'FE Sectorial'!$H11*'FE Sectorial'!N11/1000/1000</f>
        <v>169.16914199999999</v>
      </c>
      <c r="N12" s="92">
        <f>'Datos Actividad'!$W8*'FE Sectorial'!$H11*'FE Sectorial'!O11/1000/1000</f>
        <v>6699.768</v>
      </c>
      <c r="O12" s="92">
        <f>IF(D12&lt;400,H12+I12*'Factores generales'!$M$41+J12*'Factores generales'!$N$41,I12*'Factores generales'!$M$41+J12*'Factores generales'!$N$41)</f>
        <v>2600975.5582499998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Actividad'!$W9*'FE Sectorial'!$H12*'FE Sectorial'!I12*'FE Sectorial'!$P12/1000</f>
        <v>11572285.0852818</v>
      </c>
      <c r="I13" s="17">
        <f>'Datos Actividad'!$W9*'FE Sectorial'!$H12*'FE Sectorial'!J12/1000/1000</f>
        <v>207.3161724</v>
      </c>
      <c r="J13" s="17">
        <f>'Datos Actividad'!$W9*'FE Sectorial'!$H12*'FE Sectorial'!K12/1000/1000</f>
        <v>20.731617240000002</v>
      </c>
      <c r="K13" s="17">
        <f>'Datos Actividad'!$W9*'FE Sectorial'!$H12*'FE Sectorial'!L12/1000/1000</f>
        <v>31097.425859999999</v>
      </c>
      <c r="L13" s="17">
        <f>'Datos Actividad'!$W9*'FE Sectorial'!$H12*'FE Sectorial'!M12/1000/1000</f>
        <v>4146.3234480000001</v>
      </c>
      <c r="M13" s="17">
        <f>'Datos Actividad'!$W9*'FE Sectorial'!$H12*'FE Sectorial'!N12/1000/1000</f>
        <v>1036.580862</v>
      </c>
      <c r="N13" s="17">
        <f>'Datos Actividad'!$W9*'FE Sectorial'!$H12*'FE Sectorial'!O12/1000/1000</f>
        <v>0</v>
      </c>
      <c r="O13" s="17">
        <f>IF(D13&lt;400,H13+I13*'Factores generales'!$M$41+J13*'Factores generales'!$N$41,I13*'Factores generales'!$M$41+J13*'Factores generales'!$N$41)</f>
        <v>11583065.5262466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Actividad'!$W10*'FE Sectorial'!$H13*'FE Sectorial'!I13*'FE Sectorial'!$P13/1000</f>
        <v>0</v>
      </c>
      <c r="I14" s="147">
        <f>'Datos Actividad'!$W10*'FE Sectorial'!$H13*'FE Sectorial'!J13/1000/1000</f>
        <v>0</v>
      </c>
      <c r="J14" s="147">
        <f>'Datos Actividad'!$W10*'FE Sectorial'!$H13*'FE Sectorial'!K13/1000/1000</f>
        <v>0</v>
      </c>
      <c r="K14" s="147">
        <f>'Datos Actividad'!$W10*'FE Sectorial'!$H13*'FE Sectorial'!L13/1000/1000</f>
        <v>0</v>
      </c>
      <c r="L14" s="147">
        <f>'Datos Actividad'!$W10*'FE Sectorial'!$H13*'FE Sectorial'!M13/1000/1000</f>
        <v>0</v>
      </c>
      <c r="M14" s="147">
        <f>'Datos Actividad'!$W10*'FE Sectorial'!$H13*'FE Sectorial'!N13/1000/1000</f>
        <v>0</v>
      </c>
      <c r="N14" s="147">
        <f>'Datos Actividad'!$W10*'FE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5677738.5958057567</v>
      </c>
      <c r="I17" s="134">
        <f t="shared" ref="I17:O17" si="5">SUM(I18:I25)</f>
        <v>168.60733315849191</v>
      </c>
      <c r="J17" s="134">
        <f t="shared" si="5"/>
        <v>29.910431964982017</v>
      </c>
      <c r="K17" s="134">
        <f t="shared" si="5"/>
        <v>14979.399345110467</v>
      </c>
      <c r="L17" s="134">
        <f t="shared" si="5"/>
        <v>1504.494497378862</v>
      </c>
      <c r="M17" s="134">
        <f t="shared" si="5"/>
        <v>428.00285117224263</v>
      </c>
      <c r="N17" s="134">
        <f t="shared" si="5"/>
        <v>7378.0271846224859</v>
      </c>
      <c r="O17" s="134">
        <f t="shared" si="5"/>
        <v>5690551.5837112293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Actividad'!$W14*'FE Sectorial'!$H17*'FE Sectorial'!I17*'FE Sectorial'!P17/1000</f>
        <v>1184399.0547329162</v>
      </c>
      <c r="I18" s="17">
        <f>'Datos Actividad'!$W14*'FE Sectorial'!$H17*'FE Sectorial'!J17/1000/1000</f>
        <v>21.218374488000002</v>
      </c>
      <c r="J18" s="17">
        <f>'Datos Actividad'!$W14*'FE Sectorial'!$H17*'FE Sectorial'!K17/1000/1000</f>
        <v>2.1218374488000005</v>
      </c>
      <c r="K18" s="17">
        <f>'Datos Actividad'!$W14*'FE Sectorial'!$H17*'FE Sectorial'!L17/1000/1000</f>
        <v>3182.7561731999999</v>
      </c>
      <c r="L18" s="17">
        <f>'Datos Actividad'!$W14*'FE Sectorial'!$H17*'FE Sectorial'!M17/1000/1000</f>
        <v>424.36748976000001</v>
      </c>
      <c r="M18" s="17">
        <f>'Datos Actividad'!$W14*'FE Sectorial'!$H17*'FE Sectorial'!N17/1000/1000</f>
        <v>106.09187244</v>
      </c>
      <c r="N18" s="17">
        <f>'Datos Actividad'!$W14*'FE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1185502.4102062921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Actividad'!$W15*'FE Sectorial'!$H18*'FE Sectorial'!I18*'FE Sectorial'!P18/1000</f>
        <v>42840.316001095882</v>
      </c>
      <c r="I19" s="17">
        <f>'Datos Actividad'!$W15*'FE Sectorial'!$H18*'FE Sectorial'!J18/1000/1000</f>
        <v>0.6857852054794521</v>
      </c>
      <c r="J19" s="17">
        <f>'Datos Actividad'!$W15*'FE Sectorial'!$H18*'FE Sectorial'!K18/1000/1000</f>
        <v>6.8578520547945221E-2</v>
      </c>
      <c r="K19" s="17">
        <f>'Datos Actividad'!$W15*'FE Sectorial'!$H18*'FE Sectorial'!L18/1000/1000</f>
        <v>102.86778082191779</v>
      </c>
      <c r="L19" s="17">
        <f>'Datos Actividad'!$W15*'FE Sectorial'!$H18*'FE Sectorial'!M18/1000/1000</f>
        <v>13.715704109589041</v>
      </c>
      <c r="M19" s="17">
        <f>'Datos Actividad'!$W15*'FE Sectorial'!$H18*'FE Sectorial'!N18/1000/1000</f>
        <v>3.4289260273972602</v>
      </c>
      <c r="N19" s="17">
        <f>'Datos Actividad'!$W15*'FE Sectorial'!$H18*'FE Sectorial'!O18/1000/1000</f>
        <v>2.8997260273972607</v>
      </c>
      <c r="O19" s="87">
        <f>IF(D19&lt;400,H19+I19*'Factores generales'!$M$41+J19*'Factores generales'!$N$41,I19*'Factores generales'!$M$41+J19*'Factores generales'!$N$41)</f>
        <v>42875.976831780812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Actividad'!$W16*'FE Sectorial'!$H19*'FE Sectorial'!I19*'FE Sectorial'!P19/1000</f>
        <v>1247418.4615199999</v>
      </c>
      <c r="I20" s="17">
        <f>'Datos Actividad'!$W16*'FE Sectorial'!$H19*'FE Sectorial'!J19/1000/1000</f>
        <v>21.765397499999999</v>
      </c>
      <c r="J20" s="17">
        <f>'Datos Actividad'!$W16*'FE Sectorial'!$H19*'FE Sectorial'!K19/1000/1000</f>
        <v>2.1765397499999999</v>
      </c>
      <c r="K20" s="17">
        <f>'Datos Actividad'!$W16*'FE Sectorial'!$H19*'FE Sectorial'!L19/1000/1000</f>
        <v>3264.8096249999999</v>
      </c>
      <c r="L20" s="17">
        <f>'Datos Actividad'!$W16*'FE Sectorial'!$H19*'FE Sectorial'!M19/1000/1000</f>
        <v>435.30795000000001</v>
      </c>
      <c r="M20" s="17">
        <f>'Datos Actividad'!$W16*'FE Sectorial'!$H19*'FE Sectorial'!N19/1000/1000</f>
        <v>108.8269875</v>
      </c>
      <c r="N20" s="17">
        <f>'Datos Actividad'!$W16*'FE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1248550.2621899999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Actividad'!$W17*'FE Sectorial'!$H20*'FE Sectorial'!I20*'FE Sectorial'!P20/1000</f>
        <v>25221.465200970877</v>
      </c>
      <c r="I21" s="17">
        <f>'Datos Actividad'!$W17*'FE Sectorial'!$H20*'FE Sectorial'!J20/1000/1000</f>
        <v>1.0689326213592234</v>
      </c>
      <c r="J21" s="17">
        <f>'Datos Actividad'!$W17*'FE Sectorial'!$H20*'FE Sectorial'!K20/1000/1000</f>
        <v>0.21378652427184469</v>
      </c>
      <c r="K21" s="17">
        <f>'Datos Actividad'!$W17*'FE Sectorial'!$H20*'FE Sectorial'!L20/1000/1000</f>
        <v>71.262174757281556</v>
      </c>
      <c r="L21" s="17">
        <f>'Datos Actividad'!$W17*'FE Sectorial'!$H20*'FE Sectorial'!M20/1000/1000</f>
        <v>5.3446631067961174</v>
      </c>
      <c r="M21" s="17">
        <f>'Datos Actividad'!$W17*'FE Sectorial'!$H20*'FE Sectorial'!N20/1000/1000</f>
        <v>1.781554368932039</v>
      </c>
      <c r="N21" s="17">
        <f>'Datos Actividad'!$W17*'FE Sectorial'!$H20*'FE Sectorial'!O20/1000/1000</f>
        <v>16.159223300970876</v>
      </c>
      <c r="O21" s="87">
        <f>IF(D21&lt;400,H21+I21*'Factores generales'!$M$41+J21*'Factores generales'!$N$41,I21*'Factores generales'!$M$41+J21*'Factores generales'!$N$41)</f>
        <v>25310.186608543692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Actividad'!$W18*'FE Sectorial'!$H21*'FE Sectorial'!I21*'FE Sectorial'!P21/1000</f>
        <v>0</v>
      </c>
      <c r="I22" s="17">
        <f>'Datos Actividad'!$W18*'FE Sectorial'!$H21*'FE Sectorial'!J21/1000/1000</f>
        <v>0</v>
      </c>
      <c r="J22" s="17">
        <f>'Datos Actividad'!$W18*'FE Sectorial'!$H21*'FE Sectorial'!K21/1000/1000</f>
        <v>0</v>
      </c>
      <c r="K22" s="17">
        <f>'Datos Actividad'!$W18*'FE Sectorial'!$H21*'FE Sectorial'!L21/1000/1000</f>
        <v>0</v>
      </c>
      <c r="L22" s="17">
        <f>'Datos Actividad'!$W18*'FE Sectorial'!$H21*'FE Sectorial'!M21/1000/1000</f>
        <v>0</v>
      </c>
      <c r="M22" s="17">
        <f>'Datos Actividad'!$W18*'FE Sectorial'!$H21*'FE Sectorial'!N21/1000/1000</f>
        <v>0</v>
      </c>
      <c r="N22" s="17">
        <f>'Datos Actividad'!$W18*'FE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Actividad'!$W19*'FE Sectorial'!$H22*'FE Sectorial'!I22*'FE Sectorial'!P22/1000</f>
        <v>357843.04438235296</v>
      </c>
      <c r="I23" s="17">
        <f>'Datos Actividad'!$W19*'FE Sectorial'!$H22*'FE Sectorial'!J22/1000/1000</f>
        <v>14.633911764705882</v>
      </c>
      <c r="J23" s="17">
        <f>'Datos Actividad'!$W19*'FE Sectorial'!$H22*'FE Sectorial'!K22/1000/1000</f>
        <v>2.9267823529411761</v>
      </c>
      <c r="K23" s="17">
        <f>'Datos Actividad'!$W19*'FE Sectorial'!$H22*'FE Sectorial'!L22/1000/1000</f>
        <v>975.59411764705885</v>
      </c>
      <c r="L23" s="17">
        <f>'Datos Actividad'!$W19*'FE Sectorial'!$H22*'FE Sectorial'!M22/1000/1000</f>
        <v>73.169558823529428</v>
      </c>
      <c r="M23" s="17">
        <f>'Datos Actividad'!$W19*'FE Sectorial'!$H22*'FE Sectorial'!N22/1000/1000</f>
        <v>24.389852941176475</v>
      </c>
      <c r="N23" s="17">
        <f>'Datos Actividad'!$W19*'FE Sectorial'!$H22*'FE Sectorial'!O22/1000/1000</f>
        <v>176.96823529411765</v>
      </c>
      <c r="O23" s="87">
        <f>IF(D23&lt;400,H23+I23*'Factores generales'!$M$41+J23*'Factores generales'!$N$41,I23*'Factores generales'!$M$41+J23*'Factores generales'!$N$41)</f>
        <v>359057.65905882354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Actividad'!$W20*'FE Sectorial'!$H23*'FE Sectorial'!I23*'FE Sectorial'!P23/1000</f>
        <v>2779156.0565999998</v>
      </c>
      <c r="I24" s="17">
        <f>'Datos Actividad'!$W20*'FE Sectorial'!$H23*'FE Sectorial'!J23/1000/1000</f>
        <v>108.8073</v>
      </c>
      <c r="J24" s="17">
        <f>'Datos Actividad'!$W20*'FE Sectorial'!$H23*'FE Sectorial'!K23/1000/1000</f>
        <v>21.76146</v>
      </c>
      <c r="K24" s="17">
        <f>'Datos Actividad'!$W20*'FE Sectorial'!$H23*'FE Sectorial'!L23/1000/1000</f>
        <v>7253.82</v>
      </c>
      <c r="L24" s="17">
        <f>'Datos Actividad'!$W20*'FE Sectorial'!$H23*'FE Sectorial'!M23/1000/1000</f>
        <v>544.03650000000005</v>
      </c>
      <c r="M24" s="17">
        <f>'Datos Actividad'!$W20*'FE Sectorial'!$H23*'FE Sectorial'!N23/1000/1000</f>
        <v>181.34549999999999</v>
      </c>
      <c r="N24" s="17">
        <f>'Datos Actividad'!$W20*'FE Sectorial'!$H23*'FE Sectorial'!O23/1000/1000</f>
        <v>7182</v>
      </c>
      <c r="O24" s="87">
        <f>IF(D24&lt;400,H24+I24*'Factores generales'!$M$41+J24*'Factores generales'!$N$41,I24*'Factores generales'!$M$41+J24*'Factores generales'!$N$41)</f>
        <v>2788187.0625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Actividad'!$W21*'FE Sectorial'!$H24*'FE Sectorial'!I24*'FE Sectorial'!P24/1000</f>
        <v>40860.197368421046</v>
      </c>
      <c r="I25" s="17">
        <f>'Datos Actividad'!$W21*'FE Sectorial'!$H24*'FE Sectorial'!J24/1000/1000</f>
        <v>0.42763157894736842</v>
      </c>
      <c r="J25" s="17">
        <f>'Datos Actividad'!$W21*'FE Sectorial'!$H24*'FE Sectorial'!K24/1000/1000</f>
        <v>0.64144736842105277</v>
      </c>
      <c r="K25" s="17">
        <f>'Datos Actividad'!$W21*'FE Sectorial'!$H24*'FE Sectorial'!L24/1000/1000</f>
        <v>128.28947368421052</v>
      </c>
      <c r="L25" s="17">
        <f>'Datos Actividad'!$W21*'FE Sectorial'!$H24*'FE Sectorial'!M24/1000/1000</f>
        <v>8.5526315789473681</v>
      </c>
      <c r="M25" s="17">
        <f>'Datos Actividad'!$W21*'FE Sectorial'!$H24*'FE Sectorial'!N24/1000/1000</f>
        <v>2.138157894736842</v>
      </c>
      <c r="N25" s="17">
        <f>'Datos Actividad'!$W21*'FE Sectorial'!$H24*'FE Sectorial'!O24/1000/1000</f>
        <v>0</v>
      </c>
      <c r="O25" s="87">
        <f>IF(D25&lt;400,H25+I25*'Factores generales'!$M$41+J25*'Factores generales'!$N$41,I25*'Factores generales'!$M$41+J25*'Factores generales'!$N$41)</f>
        <v>41068.026315789466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3582639.5740971002</v>
      </c>
      <c r="I26" s="134">
        <f t="shared" ref="I26:O26" si="6">I27+I28</f>
        <v>64.842546300000009</v>
      </c>
      <c r="J26" s="134">
        <f t="shared" si="6"/>
        <v>9.6136447800000013</v>
      </c>
      <c r="K26" s="134">
        <f t="shared" si="6"/>
        <v>9734.2468200000003</v>
      </c>
      <c r="L26" s="134">
        <f t="shared" si="6"/>
        <v>1244.6284034999999</v>
      </c>
      <c r="M26" s="134">
        <f t="shared" si="6"/>
        <v>312.60772649999996</v>
      </c>
      <c r="N26" s="134">
        <f t="shared" si="6"/>
        <v>2615.21</v>
      </c>
      <c r="O26" s="134">
        <f t="shared" si="6"/>
        <v>3586981.4974512001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3582639.5740971002</v>
      </c>
      <c r="I28" s="15">
        <f t="shared" si="7"/>
        <v>64.842546300000009</v>
      </c>
      <c r="J28" s="15">
        <f t="shared" si="7"/>
        <v>9.6136447800000013</v>
      </c>
      <c r="K28" s="15">
        <f t="shared" si="7"/>
        <v>9734.2468200000003</v>
      </c>
      <c r="L28" s="15">
        <f t="shared" si="7"/>
        <v>1244.6284034999999</v>
      </c>
      <c r="M28" s="15">
        <f t="shared" si="7"/>
        <v>312.60772649999996</v>
      </c>
      <c r="N28" s="15">
        <f t="shared" si="7"/>
        <v>2615.21</v>
      </c>
      <c r="O28" s="15">
        <f t="shared" si="7"/>
        <v>3586981.4974512001</v>
      </c>
    </row>
    <row r="29" spans="1:15" outlineLevel="1" x14ac:dyDescent="0.25">
      <c r="B29" s="1" t="s">
        <v>7</v>
      </c>
      <c r="G29" s="1"/>
      <c r="H29" s="95">
        <f t="shared" ref="H29:O29" si="8">H30+H31</f>
        <v>184173.71279999998</v>
      </c>
      <c r="I29" s="95">
        <f t="shared" si="8"/>
        <v>1.9865999999999999</v>
      </c>
      <c r="J29" s="95">
        <f t="shared" si="8"/>
        <v>2.9799000000000007</v>
      </c>
      <c r="K29" s="95">
        <f t="shared" si="8"/>
        <v>595.98</v>
      </c>
      <c r="L29" s="95">
        <f t="shared" si="8"/>
        <v>39.731999999999999</v>
      </c>
      <c r="M29" s="95">
        <f t="shared" si="8"/>
        <v>9.9329999999999998</v>
      </c>
      <c r="N29" s="95">
        <f t="shared" si="8"/>
        <v>1901.9</v>
      </c>
      <c r="O29" s="95">
        <f t="shared" si="8"/>
        <v>185139.20039999997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Actividad'!$W26*'FE Sectorial'!$H29*'FE Sectorial'!I29*'FE Sectorial'!P29/1000</f>
        <v>184173.71279999998</v>
      </c>
      <c r="I30" s="17">
        <f>'Datos Actividad'!$W26*'FE Sectorial'!$H29*'FE Sectorial'!J29/1000/1000</f>
        <v>1.9865999999999999</v>
      </c>
      <c r="J30" s="17">
        <f>'Datos Actividad'!$W26*'FE Sectorial'!$H29*'FE Sectorial'!K29/1000/1000</f>
        <v>2.9799000000000007</v>
      </c>
      <c r="K30" s="17">
        <f>'Datos Actividad'!$W26*'FE Sectorial'!$H29*'FE Sectorial'!L29/1000/1000</f>
        <v>595.98</v>
      </c>
      <c r="L30" s="17">
        <f>'Datos Actividad'!$W26*'FE Sectorial'!$H29*'FE Sectorial'!M29/1000/1000</f>
        <v>39.731999999999999</v>
      </c>
      <c r="M30" s="17">
        <f>'Datos Actividad'!$W26*'FE Sectorial'!$H29*'FE Sectorial'!N29/1000/1000</f>
        <v>9.9329999999999998</v>
      </c>
      <c r="N30" s="17">
        <f>'Datos Actividad'!$W26*'FE Sectorial'!$H29*'FE Sectorial'!O29/1000/1000</f>
        <v>1901.9</v>
      </c>
      <c r="O30" s="87">
        <f>IF(D30&lt;400,H30+I30*'Factores generales'!$M$41+J30*'Factores generales'!$N$41,I30*'Factores generales'!$M$41+J30*'Factores generales'!$N$41)</f>
        <v>185139.20039999997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Actividad'!$W27*'FE Sectorial'!$H30*'FE Sectorial'!I30*'FE Sectorial'!P30/1000</f>
        <v>0</v>
      </c>
      <c r="I31" s="17">
        <f>'Datos Actividad'!$W27*'FE Sectorial'!$H30*'FE Sectorial'!J30/1000/1000</f>
        <v>0</v>
      </c>
      <c r="J31" s="17">
        <f>'Datos Actividad'!$W27*'FE Sectorial'!$H30*'FE Sectorial'!K30/1000/1000</f>
        <v>0</v>
      </c>
      <c r="K31" s="17">
        <f>'Datos Actividad'!$W27*'FE Sectorial'!$H30*'FE Sectorial'!L30/1000/1000</f>
        <v>0</v>
      </c>
      <c r="L31" s="17">
        <f>'Datos Actividad'!$W27*'FE Sectorial'!$H30*'FE Sectorial'!M30/1000/1000</f>
        <v>0</v>
      </c>
      <c r="M31" s="17">
        <f>'Datos Actividad'!$W27*'FE Sectorial'!$H30*'FE Sectorial'!N30/1000/1000</f>
        <v>0</v>
      </c>
      <c r="N31" s="17">
        <f>'Datos Actividad'!$W27*'FE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3398465.8612971003</v>
      </c>
      <c r="I32" s="17">
        <f t="shared" ref="I32:O32" si="9">I33+I34+I35</f>
        <v>62.855946300000006</v>
      </c>
      <c r="J32" s="17">
        <f t="shared" si="9"/>
        <v>6.6337447799999998</v>
      </c>
      <c r="K32" s="17">
        <f t="shared" si="9"/>
        <v>9138.2668200000007</v>
      </c>
      <c r="L32" s="17">
        <f t="shared" si="9"/>
        <v>1204.8964034999999</v>
      </c>
      <c r="M32" s="17">
        <f t="shared" si="9"/>
        <v>302.67472649999996</v>
      </c>
      <c r="N32" s="17">
        <f t="shared" si="9"/>
        <v>713.31</v>
      </c>
      <c r="O32" s="17">
        <f t="shared" si="9"/>
        <v>3401842.2970512002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Actividad'!$W29*'FE Sectorial'!$H32*'FE Sectorial'!I32*'FE Sectorial'!P32/1000</f>
        <v>3314251.8215136002</v>
      </c>
      <c r="I33" s="17">
        <f>'Datos Actividad'!$W29*'FE Sectorial'!$H32*'FE Sectorial'!J32/1000/1000</f>
        <v>59.374444800000006</v>
      </c>
      <c r="J33" s="17">
        <f>'Datos Actividad'!$W29*'FE Sectorial'!$H32*'FE Sectorial'!K32/1000/1000</f>
        <v>5.9374444799999999</v>
      </c>
      <c r="K33" s="17">
        <f>'Datos Actividad'!$W29*'FE Sectorial'!$H32*'FE Sectorial'!L32/1000/1000</f>
        <v>8906.1667200000011</v>
      </c>
      <c r="L33" s="17">
        <f>'Datos Actividad'!$W29*'FE Sectorial'!$H32*'FE Sectorial'!M32/1000/1000</f>
        <v>1187.4888959999998</v>
      </c>
      <c r="M33" s="17">
        <f>'Datos Actividad'!$W29*'FE Sectorial'!$H32*'FE Sectorial'!N32/1000/1000</f>
        <v>296.87222399999996</v>
      </c>
      <c r="N33" s="17">
        <f>'Datos Actividad'!$W29*'FE Sectorial'!$H32*'FE Sectorial'!O32/1000/1000</f>
        <v>0</v>
      </c>
      <c r="O33" s="87">
        <f>IF(D33&lt;400,H33+I33*'Factores generales'!$M$41+J33*'Factores generales'!$N$41,I33*'Factores generales'!$M$41+J33*'Factores generales'!$N$41)</f>
        <v>3317339.2926432001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Actividad'!$W30*'FE Sectorial'!$H33*'FE Sectorial'!I33*'FE Sectorial'!P33/1000</f>
        <v>0</v>
      </c>
      <c r="I34" s="17">
        <f>'Datos Actividad'!$W30*'FE Sectorial'!$H33*'FE Sectorial'!J33/1000/1000</f>
        <v>0</v>
      </c>
      <c r="J34" s="17">
        <f>'Datos Actividad'!$W30*'FE Sectorial'!$H33*'FE Sectorial'!K33/1000/1000</f>
        <v>0</v>
      </c>
      <c r="K34" s="17">
        <f>'Datos Actividad'!$W30*'FE Sectorial'!$H33*'FE Sectorial'!L33/1000/1000</f>
        <v>0</v>
      </c>
      <c r="L34" s="17">
        <f>'Datos Actividad'!$W30*'FE Sectorial'!$H33*'FE Sectorial'!M33/1000/1000</f>
        <v>0</v>
      </c>
      <c r="M34" s="17">
        <f>'Datos Actividad'!$W30*'FE Sectorial'!$H33*'FE Sectorial'!N33/1000/1000</f>
        <v>0</v>
      </c>
      <c r="N34" s="17">
        <f>'Datos Actividad'!$W30*'FE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Actividad'!$W31*'FE Sectorial'!$H34*'FE Sectorial'!I34*'FE Sectorial'!P34/1000</f>
        <v>84214.039783499989</v>
      </c>
      <c r="I35" s="17">
        <f>'Datos Actividad'!$W31*'FE Sectorial'!$H34*'FE Sectorial'!J34/1000/1000</f>
        <v>3.4815014999999998</v>
      </c>
      <c r="J35" s="17">
        <f>'Datos Actividad'!$W31*'FE Sectorial'!$H34*'FE Sectorial'!K34/1000/1000</f>
        <v>0.69630029999999987</v>
      </c>
      <c r="K35" s="17">
        <f>'Datos Actividad'!$W31*'FE Sectorial'!$H34*'FE Sectorial'!L34/1000/1000</f>
        <v>232.1001</v>
      </c>
      <c r="L35" s="17">
        <f>'Datos Actividad'!$W31*'FE Sectorial'!$H34*'FE Sectorial'!M34/1000/1000</f>
        <v>17.407507500000001</v>
      </c>
      <c r="M35" s="17">
        <f>'Datos Actividad'!$W31*'FE Sectorial'!$H34*'FE Sectorial'!N34/1000/1000</f>
        <v>5.8025024999999992</v>
      </c>
      <c r="N35" s="17">
        <f>'Datos Actividad'!$W31*'FE Sectorial'!$H34*'FE Sectorial'!O34/1000/1000</f>
        <v>713.31</v>
      </c>
      <c r="O35" s="87">
        <f>IF(D35&lt;400,H35+I35*'Factores generales'!$M$41+J35*'Factores generales'!$N$41,I35*'Factores generales'!$M$41+J35*'Factores generales'!$N$41)</f>
        <v>84503.004407999993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19860205.614290833</v>
      </c>
      <c r="I36" s="129">
        <f t="shared" si="10"/>
        <v>2428.5754162854146</v>
      </c>
      <c r="J36" s="129">
        <f t="shared" si="10"/>
        <v>345.27903243299932</v>
      </c>
      <c r="K36" s="129">
        <f t="shared" si="10"/>
        <v>56609.123599374652</v>
      </c>
      <c r="L36" s="129">
        <f t="shared" si="10"/>
        <v>275549.68970859383</v>
      </c>
      <c r="M36" s="129">
        <f t="shared" si="10"/>
        <v>5178.3220865567182</v>
      </c>
      <c r="N36" s="129">
        <f t="shared" si="10"/>
        <v>8279.8937150777638</v>
      </c>
      <c r="O36" s="129">
        <f t="shared" si="10"/>
        <v>20018242.198087052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3283332.3193835667</v>
      </c>
      <c r="I37" s="134">
        <f t="shared" ref="I37:O37" si="11">SUM(I38:I44)</f>
        <v>23.309438245544591</v>
      </c>
      <c r="J37" s="134">
        <f t="shared" si="11"/>
        <v>18.989864146191891</v>
      </c>
      <c r="K37" s="134">
        <f t="shared" si="11"/>
        <v>5281.3000570071281</v>
      </c>
      <c r="L37" s="134">
        <f t="shared" si="11"/>
        <v>2127.1906035066891</v>
      </c>
      <c r="M37" s="134">
        <f t="shared" si="11"/>
        <v>295.03562324526683</v>
      </c>
      <c r="N37" s="134">
        <f t="shared" si="11"/>
        <v>0</v>
      </c>
      <c r="O37" s="134">
        <f t="shared" si="11"/>
        <v>3289708.675472043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Actividad'!$W34*'FE Sectorial'!$H37*'FE Sectorial'!I37*'FE Sectorial'!P37/1000</f>
        <v>0</v>
      </c>
      <c r="I38" s="17">
        <f>'Datos Actividad'!$W34*'FE Sectorial'!$H37*'FE Sectorial'!J37/1000/1000</f>
        <v>0</v>
      </c>
      <c r="J38" s="17">
        <f>'Datos Actividad'!$W34*'FE Sectorial'!$H37*'FE Sectorial'!K37/1000/1000</f>
        <v>0</v>
      </c>
      <c r="K38" s="17">
        <f>'Datos Actividad'!$W34*'FE Sectorial'!$H37*'FE Sectorial'!L37/1000/1000</f>
        <v>0</v>
      </c>
      <c r="L38" s="17">
        <f>'Datos Actividad'!$W34*'FE Sectorial'!$H37*'FE Sectorial'!M37/1000/1000</f>
        <v>0</v>
      </c>
      <c r="M38" s="17">
        <f>'Datos Actividad'!$W34*'FE Sectorial'!$H37*'FE Sectorial'!N37/1000/1000</f>
        <v>0</v>
      </c>
      <c r="N38" s="17">
        <f>'Datos Actividad'!$W34*'FE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Actividad'!$W35*'FE Sectorial'!$H38*'FE Sectorial'!I38*'FE Sectorial'!P38/1000</f>
        <v>1980487.0194598127</v>
      </c>
      <c r="I39" s="17">
        <f>'Datos Actividad'!$W35*'FE Sectorial'!$H38*'FE Sectorial'!J38/1000/1000</f>
        <v>7.6555354443750012</v>
      </c>
      <c r="J39" s="17">
        <f>'Datos Actividad'!$W35*'FE Sectorial'!$H38*'FE Sectorial'!K38/1000/1000</f>
        <v>0.76555354443750012</v>
      </c>
      <c r="K39" s="17">
        <f>'Datos Actividad'!$W35*'FE Sectorial'!$H38*'FE Sectorial'!L38/1000/1000</f>
        <v>1148.3303166562503</v>
      </c>
      <c r="L39" s="17">
        <f>'Datos Actividad'!$W35*'FE Sectorial'!$H38*'FE Sectorial'!M38/1000/1000</f>
        <v>229.66606333125</v>
      </c>
      <c r="M39" s="17">
        <f>'Datos Actividad'!$W35*'FE Sectorial'!$H38*'FE Sectorial'!N38/1000/1000</f>
        <v>38.277677221875003</v>
      </c>
      <c r="N39" s="17">
        <f>'Datos Actividad'!$W35*'FE Sectorial'!$H38*'FE Sectorial'!O38/1000/1000</f>
        <v>0</v>
      </c>
      <c r="O39" s="87">
        <f>IF(D39&lt;400,H39+I39*'Factores generales'!$M$41+J39*'Factores generales'!$N$41,I39*'Factores generales'!$M$41+J39*'Factores generales'!$N$41)</f>
        <v>1980885.1073029202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Actividad'!$W36*'FE Sectorial'!$H39*'FE Sectorial'!I39*'FE Sectorial'!P39/1000</f>
        <v>165873.98797200003</v>
      </c>
      <c r="I40" s="17">
        <f>'Datos Actividad'!$W36*'FE Sectorial'!$H39*'FE Sectorial'!J39/1000/1000</f>
        <v>3.754674000000001</v>
      </c>
      <c r="J40" s="17">
        <f>'Datos Actividad'!$W36*'FE Sectorial'!$H39*'FE Sectorial'!K39/1000/1000</f>
        <v>0.37546740000000012</v>
      </c>
      <c r="K40" s="17">
        <f>'Datos Actividad'!$W36*'FE Sectorial'!$H39*'FE Sectorial'!L39/1000/1000</f>
        <v>563.20110000000011</v>
      </c>
      <c r="L40" s="17">
        <f>'Datos Actividad'!$W36*'FE Sectorial'!$H39*'FE Sectorial'!M39/1000/1000</f>
        <v>112.64022000000003</v>
      </c>
      <c r="M40" s="17">
        <f>'Datos Actividad'!$W36*'FE Sectorial'!$H39*'FE Sectorial'!N39/1000/1000</f>
        <v>18.773370000000003</v>
      </c>
      <c r="N40" s="17">
        <f>'Datos Actividad'!$W36*'FE Sectorial'!$H39*'FE Sectorial'!O39/1000/1000</f>
        <v>0</v>
      </c>
      <c r="O40" s="87">
        <f>IF(D40&lt;400,H40+I40*'Factores generales'!$M$41+J40*'Factores generales'!$N$41,I40*'Factores generales'!$M$41+J40*'Factores generales'!$N$41)</f>
        <v>166069.23102000004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Actividad'!$W37*'FE Sectorial'!$H40*'FE Sectorial'!I40*'FE Sectorial'!P40/1000</f>
        <v>0</v>
      </c>
      <c r="I41" s="17">
        <f>'Datos Actividad'!$W37*'FE Sectorial'!$H40*'FE Sectorial'!J40/1000/1000</f>
        <v>0</v>
      </c>
      <c r="J41" s="17">
        <f>'Datos Actividad'!$W37*'FE Sectorial'!$H40*'FE Sectorial'!K40/1000/1000</f>
        <v>0</v>
      </c>
      <c r="K41" s="17">
        <f>'Datos Actividad'!$W37*'FE Sectorial'!$H40*'FE Sectorial'!L40/1000/1000</f>
        <v>0</v>
      </c>
      <c r="L41" s="17">
        <f>'Datos Actividad'!$W37*'FE Sectorial'!$H40*'FE Sectorial'!M40/1000/1000</f>
        <v>0</v>
      </c>
      <c r="M41" s="17">
        <f>'Datos Actividad'!$W37*'FE Sectorial'!$H40*'FE Sectorial'!N40/1000/1000</f>
        <v>0</v>
      </c>
      <c r="N41" s="17">
        <f>'Datos Actividad'!$W37*'FE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Actividad'!$W38*'FE Sectorial'!$H41*'FE Sectorial'!I41*'FE Sectorial'!P41/1000</f>
        <v>0</v>
      </c>
      <c r="I42" s="17">
        <f>'Datos Actividad'!$W38*'FE Sectorial'!$H41*'FE Sectorial'!J41/1000/1000</f>
        <v>0</v>
      </c>
      <c r="J42" s="17">
        <f>'Datos Actividad'!$W38*'FE Sectorial'!$H41*'FE Sectorial'!K41/1000/1000</f>
        <v>0</v>
      </c>
      <c r="K42" s="17">
        <f>'Datos Actividad'!$W38*'FE Sectorial'!$H41*'FE Sectorial'!L41/1000/1000</f>
        <v>0</v>
      </c>
      <c r="L42" s="17">
        <f>'Datos Actividad'!$W38*'FE Sectorial'!$H41*'FE Sectorial'!M41/1000/1000</f>
        <v>0</v>
      </c>
      <c r="M42" s="17">
        <f>'Datos Actividad'!$W38*'FE Sectorial'!$H41*'FE Sectorial'!N41/1000/1000</f>
        <v>0</v>
      </c>
      <c r="N42" s="17">
        <f>'Datos Actividad'!$W38*'FE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Actividad'!$W39*'FE Sectorial'!$H42*'FE Sectorial'!I42*'FE Sectorial'!P42/1000</f>
        <v>1069515.6661184209</v>
      </c>
      <c r="I43" s="17">
        <f>'Datos Actividad'!$W39*'FE Sectorial'!$H42*'FE Sectorial'!J42/1000/1000</f>
        <v>11.193256578947368</v>
      </c>
      <c r="J43" s="17">
        <f>'Datos Actividad'!$W39*'FE Sectorial'!$H42*'FE Sectorial'!K42/1000/1000</f>
        <v>16.789884868421058</v>
      </c>
      <c r="K43" s="17">
        <f>'Datos Actividad'!$W39*'FE Sectorial'!$H42*'FE Sectorial'!L42/1000/1000</f>
        <v>3357.9769736842109</v>
      </c>
      <c r="L43" s="17">
        <f>'Datos Actividad'!$W39*'FE Sectorial'!$H42*'FE Sectorial'!M42/1000/1000</f>
        <v>1678.9884868421054</v>
      </c>
      <c r="M43" s="17">
        <f>'Datos Actividad'!$W39*'FE Sectorial'!$H42*'FE Sectorial'!N42/1000/1000</f>
        <v>223.86513157894737</v>
      </c>
      <c r="N43" s="17">
        <f>'Datos Actividad'!$W39*'FE Sectorial'!$H42*'FE Sectorial'!O42/1000/1000</f>
        <v>0</v>
      </c>
      <c r="O43" s="87">
        <f>IF(D43&lt;400,H43+I43*'Factores generales'!$M$41+J43*'Factores generales'!$N$41,I43*'Factores generales'!$M$41+J43*'Factores generales'!$N$41)</f>
        <v>1074955.5888157894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Actividad'!$W40*'FE Sectorial'!$H43*'FE Sectorial'!I43*'FE Sectorial'!P43/1000</f>
        <v>67455.645833333343</v>
      </c>
      <c r="I44" s="17">
        <f>'Datos Actividad'!$W40*'FE Sectorial'!$H43*'FE Sectorial'!J43/1000/1000</f>
        <v>0.70597222222222233</v>
      </c>
      <c r="J44" s="17">
        <f>'Datos Actividad'!$W40*'FE Sectorial'!$H43*'FE Sectorial'!K43/1000/1000</f>
        <v>1.0589583333333334</v>
      </c>
      <c r="K44" s="17">
        <f>'Datos Actividad'!$W40*'FE Sectorial'!$H43*'FE Sectorial'!L43/1000/1000</f>
        <v>211.79166666666669</v>
      </c>
      <c r="L44" s="17">
        <f>'Datos Actividad'!$W40*'FE Sectorial'!$H43*'FE Sectorial'!M43/1000/1000</f>
        <v>105.89583333333334</v>
      </c>
      <c r="M44" s="17">
        <f>'Datos Actividad'!$W40*'FE Sectorial'!$H43*'FE Sectorial'!N43/1000/1000</f>
        <v>14.119444444444444</v>
      </c>
      <c r="N44" s="17">
        <f>'Datos Actividad'!$W40*'FE Sectorial'!$H43*'FE Sectorial'!O43/1000/1000</f>
        <v>0</v>
      </c>
      <c r="O44" s="87">
        <f>IF(D44&lt;400,H44+I44*'Factores generales'!$M$41+J44*'Factores generales'!$N$41,I44*'Factores generales'!$M$41+J44*'Factores generales'!$N$41)</f>
        <v>67798.748333333351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Actividad'!$W42*'FE Sectorial'!$H45*'FE Sectorial'!I45*'FE Sectorial'!P45/1000</f>
        <v>0</v>
      </c>
      <c r="I46" s="17">
        <f>'Datos Actividad'!$W42*'FE Sectorial'!$H45*'FE Sectorial'!J45/1000/1000</f>
        <v>0</v>
      </c>
      <c r="J46" s="17">
        <f>'Datos Actividad'!$W42*'FE Sectorial'!$H45*'FE Sectorial'!K45/1000/1000</f>
        <v>0</v>
      </c>
      <c r="K46" s="17">
        <f>'Datos Actividad'!$W42*'FE Sectorial'!$H45*'FE Sectorial'!L45/1000/1000</f>
        <v>0</v>
      </c>
      <c r="L46" s="17">
        <f>'Datos Actividad'!$W42*'FE Sectorial'!$H45*'FE Sectorial'!M45/1000/1000</f>
        <v>0</v>
      </c>
      <c r="M46" s="17">
        <f>'Datos Actividad'!$W42*'FE Sectorial'!$H45*'FE Sectorial'!N45/1000/1000</f>
        <v>0</v>
      </c>
      <c r="N46" s="17">
        <f>'Datos Actividad'!$W42*'FE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58869.765377280004</v>
      </c>
      <c r="I47" s="134">
        <f t="shared" ref="I47:O47" si="13">SUM(I48:I55)</f>
        <v>139.5213963627501</v>
      </c>
      <c r="J47" s="134">
        <f t="shared" si="13"/>
        <v>18.568613500366677</v>
      </c>
      <c r="K47" s="134">
        <f t="shared" si="13"/>
        <v>615.72445240916693</v>
      </c>
      <c r="L47" s="134">
        <f t="shared" si="13"/>
        <v>18496.710869566679</v>
      </c>
      <c r="M47" s="134">
        <f t="shared" si="13"/>
        <v>235.95959540458347</v>
      </c>
      <c r="N47" s="134">
        <f t="shared" si="13"/>
        <v>0</v>
      </c>
      <c r="O47" s="134">
        <f t="shared" si="13"/>
        <v>67555.984886011429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Actividad'!$W44*'FE Sectorial'!$H47*'FE Sectorial'!I47*'FE Sectorial'!P47/1000</f>
        <v>0</v>
      </c>
      <c r="I48" s="17">
        <f>'Datos Actividad'!$W44*'FE Sectorial'!$H47*'FE Sectorial'!J47/1000/1000</f>
        <v>0</v>
      </c>
      <c r="J48" s="17">
        <f>'Datos Actividad'!$W44*'FE Sectorial'!$H47*'FE Sectorial'!K47/1000/1000</f>
        <v>0</v>
      </c>
      <c r="K48" s="17">
        <f>'Datos Actividad'!$W44*'FE Sectorial'!$H47*'FE Sectorial'!L47/1000/1000</f>
        <v>0</v>
      </c>
      <c r="L48" s="17">
        <f>'Datos Actividad'!$W44*'FE Sectorial'!$H47*'FE Sectorial'!M47/1000/1000</f>
        <v>0</v>
      </c>
      <c r="M48" s="17">
        <f>'Datos Actividad'!$W44*'FE Sectorial'!$H47*'FE Sectorial'!N47/1000/1000</f>
        <v>0</v>
      </c>
      <c r="N48" s="17">
        <f>'Datos Actividad'!$W44*'FE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Actividad'!$W45*'FE Sectorial'!$H48*'FE Sectorial'!I48*'FE Sectorial'!P48/1000</f>
        <v>58869.765377280004</v>
      </c>
      <c r="I49" s="17">
        <f>'Datos Actividad'!$W45*'FE Sectorial'!$H48*'FE Sectorial'!J48/1000/1000</f>
        <v>1.0271804400000002</v>
      </c>
      <c r="J49" s="17">
        <f>'Datos Actividad'!$W45*'FE Sectorial'!$H48*'FE Sectorial'!K48/1000/1000</f>
        <v>0.10271804400000001</v>
      </c>
      <c r="K49" s="17">
        <f>'Datos Actividad'!$W45*'FE Sectorial'!$H48*'FE Sectorial'!L48/1000/1000</f>
        <v>154.077066</v>
      </c>
      <c r="L49" s="17">
        <f>'Datos Actividad'!$W45*'FE Sectorial'!$H48*'FE Sectorial'!M48/1000/1000</f>
        <v>30.815413200000002</v>
      </c>
      <c r="M49" s="17">
        <f>'Datos Actividad'!$W45*'FE Sectorial'!$H48*'FE Sectorial'!N48/1000/1000</f>
        <v>5.1359022000000003</v>
      </c>
      <c r="N49" s="17">
        <f>'Datos Actividad'!$W45*'FE Sectorial'!$H48*'FE Sectorial'!O48/1000/1000</f>
        <v>0</v>
      </c>
      <c r="O49" s="87">
        <f>IF(D49&lt;400,H49+I49*'Factores generales'!$M$41+J49*'Factores generales'!$N$41,I49*'Factores generales'!$M$41+J49*'Factores generales'!$N$41)</f>
        <v>58923.178760160008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Actividad'!$W46*'FE Sectorial'!$H49*'FE Sectorial'!I49*'FE Sectorial'!P49/1000</f>
        <v>0</v>
      </c>
      <c r="I50" s="17">
        <f>'Datos Actividad'!$W46*'FE Sectorial'!$H49*'FE Sectorial'!J49/1000/1000</f>
        <v>0</v>
      </c>
      <c r="J50" s="17">
        <f>'Datos Actividad'!$W46*'FE Sectorial'!$H49*'FE Sectorial'!K49/1000/1000</f>
        <v>0</v>
      </c>
      <c r="K50" s="17">
        <f>'Datos Actividad'!$W46*'FE Sectorial'!$H49*'FE Sectorial'!L49/1000/1000</f>
        <v>0</v>
      </c>
      <c r="L50" s="17">
        <f>'Datos Actividad'!$W46*'FE Sectorial'!$H49*'FE Sectorial'!M49/1000/1000</f>
        <v>0</v>
      </c>
      <c r="M50" s="17">
        <f>'Datos Actividad'!$W46*'FE Sectorial'!$H49*'FE Sectorial'!N49/1000/1000</f>
        <v>0</v>
      </c>
      <c r="N50" s="17">
        <f>'Datos Actividad'!$W46*'FE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Actividad'!$W47*'FE Sectorial'!$H50*'FE Sectorial'!I50*'FE Sectorial'!P50/1000</f>
        <v>0</v>
      </c>
      <c r="I51" s="17">
        <f>'Datos Actividad'!$W47*'FE Sectorial'!$H50*'FE Sectorial'!J50/1000/1000</f>
        <v>0</v>
      </c>
      <c r="J51" s="17">
        <f>'Datos Actividad'!$W47*'FE Sectorial'!$H50*'FE Sectorial'!K50/1000/1000</f>
        <v>0</v>
      </c>
      <c r="K51" s="17">
        <f>'Datos Actividad'!$W47*'FE Sectorial'!$H50*'FE Sectorial'!L50/1000/1000</f>
        <v>0</v>
      </c>
      <c r="L51" s="17">
        <f>'Datos Actividad'!$W47*'FE Sectorial'!$H50*'FE Sectorial'!M50/1000/1000</f>
        <v>0</v>
      </c>
      <c r="M51" s="17">
        <f>'Datos Actividad'!$W47*'FE Sectorial'!$H50*'FE Sectorial'!N50/1000/1000</f>
        <v>0</v>
      </c>
      <c r="N51" s="17">
        <f>'Datos Actividad'!$W47*'FE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Actividad'!$W48*'FE Sectorial'!$H51*'FE Sectorial'!I51*'FE Sectorial'!P51/1000</f>
        <v>0</v>
      </c>
      <c r="I52" s="17">
        <f>'Datos Actividad'!$W48*'FE Sectorial'!$H51*'FE Sectorial'!J51/1000/1000</f>
        <v>0</v>
      </c>
      <c r="J52" s="17">
        <f>'Datos Actividad'!$W48*'FE Sectorial'!$H51*'FE Sectorial'!K51/1000/1000</f>
        <v>0</v>
      </c>
      <c r="K52" s="17">
        <f>'Datos Actividad'!$W48*'FE Sectorial'!$H51*'FE Sectorial'!L51/1000/1000</f>
        <v>0</v>
      </c>
      <c r="L52" s="17">
        <f>'Datos Actividad'!$W48*'FE Sectorial'!$H51*'FE Sectorial'!M51/1000/1000</f>
        <v>0</v>
      </c>
      <c r="M52" s="17">
        <f>'Datos Actividad'!$W48*'FE Sectorial'!$H51*'FE Sectorial'!N51/1000/1000</f>
        <v>0</v>
      </c>
      <c r="N52" s="17">
        <f>'Datos Actividad'!$W48*'FE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Actividad'!$W49*'FE Sectorial'!$H52*'FE Sectorial'!I52*'FE Sectorial'!P52/1000</f>
        <v>401633.22617597523</v>
      </c>
      <c r="I53" s="17">
        <f>'Datos Actividad'!$W49*'FE Sectorial'!$H52*'FE Sectorial'!J52/1000/1000</f>
        <v>138.4942159227501</v>
      </c>
      <c r="J53" s="17">
        <f>'Datos Actividad'!$W49*'FE Sectorial'!$H52*'FE Sectorial'!K52/1000/1000</f>
        <v>18.465895456366678</v>
      </c>
      <c r="K53" s="17">
        <f>'Datos Actividad'!$W49*'FE Sectorial'!$H52*'FE Sectorial'!L52/1000/1000</f>
        <v>461.64738640916693</v>
      </c>
      <c r="L53" s="17">
        <f>'Datos Actividad'!$W49*'FE Sectorial'!$H52*'FE Sectorial'!M52/1000/1000</f>
        <v>18465.895456366678</v>
      </c>
      <c r="M53" s="17">
        <f>'Datos Actividad'!$W49*'FE Sectorial'!$H52*'FE Sectorial'!N52/1000/1000</f>
        <v>230.82369320458346</v>
      </c>
      <c r="N53" s="17">
        <f>'Datos Actividad'!$W49*'FE Sectorial'!$H52*'FE Sectorial'!O52/1000/1000</f>
        <v>0</v>
      </c>
      <c r="O53" s="87">
        <f>IF(D53&lt;400,H53+I53*'Factores generales'!$M$41+J53*'Factores generales'!$N$41,I53*'Factores generales'!$M$41+J53*'Factores generales'!$N$41)</f>
        <v>8632.8061258514226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Actividad'!$W50*'FE Sectorial'!$H53*'FE Sectorial'!I53*'FE Sectorial'!P53/1000</f>
        <v>0</v>
      </c>
      <c r="I54" s="17">
        <f>'Datos Actividad'!$W50*'FE Sectorial'!$H53*'FE Sectorial'!J53/1000/1000</f>
        <v>0</v>
      </c>
      <c r="J54" s="17">
        <f>'Datos Actividad'!$W50*'FE Sectorial'!$H53*'FE Sectorial'!K53/1000/1000</f>
        <v>0</v>
      </c>
      <c r="K54" s="17">
        <f>'Datos Actividad'!$W50*'FE Sectorial'!$H53*'FE Sectorial'!L53/1000/1000</f>
        <v>0</v>
      </c>
      <c r="L54" s="17">
        <f>'Datos Actividad'!$W50*'FE Sectorial'!$H53*'FE Sectorial'!M53/1000/1000</f>
        <v>0</v>
      </c>
      <c r="M54" s="17">
        <f>'Datos Actividad'!$W50*'FE Sectorial'!$H53*'FE Sectorial'!N53/1000/1000</f>
        <v>0</v>
      </c>
      <c r="N54" s="17">
        <f>'Datos Actividad'!$W50*'FE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Actividad'!$W51*'FE Sectorial'!$H54*'FE Sectorial'!I54*'FE Sectorial'!P54/1000</f>
        <v>0</v>
      </c>
      <c r="I55" s="17">
        <f>'Datos Actividad'!$W51*'FE Sectorial'!$H54*'FE Sectorial'!J54/1000/1000</f>
        <v>0</v>
      </c>
      <c r="J55" s="17">
        <f>'Datos Actividad'!$W51*'FE Sectorial'!$H54*'FE Sectorial'!K54/1000/1000</f>
        <v>0</v>
      </c>
      <c r="K55" s="17">
        <f>'Datos Actividad'!$W51*'FE Sectorial'!$H54*'FE Sectorial'!L54/1000/1000</f>
        <v>0</v>
      </c>
      <c r="L55" s="17">
        <f>'Datos Actividad'!$W51*'FE Sectorial'!$H54*'FE Sectorial'!M54/1000/1000</f>
        <v>0</v>
      </c>
      <c r="M55" s="17">
        <f>'Datos Actividad'!$W51*'FE Sectorial'!$H54*'FE Sectorial'!N54/1000/1000</f>
        <v>0</v>
      </c>
      <c r="N55" s="17">
        <f>'Datos Actividad'!$W51*'FE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412.11745626748871</v>
      </c>
      <c r="J56" s="134">
        <f t="shared" ref="J56:O56" si="14">SUM(J57:J62)</f>
        <v>54.948994168998489</v>
      </c>
      <c r="K56" s="134">
        <f t="shared" si="14"/>
        <v>1373.7248542249622</v>
      </c>
      <c r="L56" s="134">
        <f t="shared" si="14"/>
        <v>51242.434168998487</v>
      </c>
      <c r="M56" s="134">
        <f t="shared" si="14"/>
        <v>686.8624271124811</v>
      </c>
      <c r="N56" s="134">
        <f t="shared" si="14"/>
        <v>475.2</v>
      </c>
      <c r="O56" s="134">
        <f t="shared" si="14"/>
        <v>25688.654774006791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Actividad'!$W53*'FE Sectorial'!$H56*'FE Sectorial'!I56*'FE Sectorial'!P56/1000</f>
        <v>0</v>
      </c>
      <c r="I57" s="17">
        <f>'Datos Actividad'!$W53*'FE Sectorial'!$H56*'FE Sectorial'!J56/1000/1000</f>
        <v>0</v>
      </c>
      <c r="J57" s="17">
        <f>'Datos Actividad'!$W53*'FE Sectorial'!$H56*'FE Sectorial'!K56/1000/1000</f>
        <v>0</v>
      </c>
      <c r="K57" s="17">
        <f>'Datos Actividad'!$W53*'FE Sectorial'!$H56*'FE Sectorial'!L56/1000/1000</f>
        <v>0</v>
      </c>
      <c r="L57" s="17">
        <f>'Datos Actividad'!$W53*'FE Sectorial'!$H56*'FE Sectorial'!M56/1000/1000</f>
        <v>0</v>
      </c>
      <c r="M57" s="17">
        <f>'Datos Actividad'!$W53*'FE Sectorial'!$H56*'FE Sectorial'!N56/1000/1000</f>
        <v>0</v>
      </c>
      <c r="N57" s="17">
        <f>'Datos Actividad'!$W53*'FE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Actividad'!$W54*'FE Sectorial'!$H57*'FE Sectorial'!I57*'FE Sectorial'!P57/1000</f>
        <v>0</v>
      </c>
      <c r="I58" s="17">
        <f>'Datos Actividad'!$W54*'FE Sectorial'!$H57*'FE Sectorial'!J57/1000/1000</f>
        <v>0</v>
      </c>
      <c r="J58" s="17">
        <f>'Datos Actividad'!$W54*'FE Sectorial'!$H57*'FE Sectorial'!K57/1000/1000</f>
        <v>0</v>
      </c>
      <c r="K58" s="17">
        <f>'Datos Actividad'!$W54*'FE Sectorial'!$H57*'FE Sectorial'!L57/1000/1000</f>
        <v>0</v>
      </c>
      <c r="L58" s="17">
        <f>'Datos Actividad'!$W54*'FE Sectorial'!$H57*'FE Sectorial'!M57/1000/1000</f>
        <v>0</v>
      </c>
      <c r="M58" s="17">
        <f>'Datos Actividad'!$W54*'FE Sectorial'!$H57*'FE Sectorial'!N57/1000/1000</f>
        <v>0</v>
      </c>
      <c r="N58" s="17">
        <f>'Datos Actividad'!$W54*'FE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Actividad'!$W55*'FE Sectorial'!$H58*'FE Sectorial'!I58*'FE Sectorial'!P58/1000</f>
        <v>0</v>
      </c>
      <c r="I59" s="17">
        <f>'Datos Actividad'!$W55*'FE Sectorial'!$H58*'FE Sectorial'!J58/1000/1000</f>
        <v>0</v>
      </c>
      <c r="J59" s="17">
        <f>'Datos Actividad'!$W55*'FE Sectorial'!$H58*'FE Sectorial'!K58/1000/1000</f>
        <v>0</v>
      </c>
      <c r="K59" s="17">
        <f>'Datos Actividad'!$W55*'FE Sectorial'!$H58*'FE Sectorial'!L58/1000/1000</f>
        <v>0</v>
      </c>
      <c r="L59" s="17">
        <f>'Datos Actividad'!$W55*'FE Sectorial'!$H58*'FE Sectorial'!M58/1000/1000</f>
        <v>0</v>
      </c>
      <c r="M59" s="17">
        <f>'Datos Actividad'!$W55*'FE Sectorial'!$H58*'FE Sectorial'!N58/1000/1000</f>
        <v>0</v>
      </c>
      <c r="N59" s="17">
        <f>'Datos Actividad'!$W55*'FE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Actividad'!$W56*'FE Sectorial'!$H59*'FE Sectorial'!I59*'FE Sectorial'!P59/1000</f>
        <v>591693.96000000008</v>
      </c>
      <c r="I60" s="17">
        <f>'Datos Actividad'!$W56*'FE Sectorial'!$H59*'FE Sectorial'!J59/1000/1000</f>
        <v>204.03240000000002</v>
      </c>
      <c r="J60" s="17">
        <f>'Datos Actividad'!$W56*'FE Sectorial'!$H59*'FE Sectorial'!K59/1000/1000</f>
        <v>27.204320000000003</v>
      </c>
      <c r="K60" s="17">
        <f>'Datos Actividad'!$W56*'FE Sectorial'!$H59*'FE Sectorial'!L59/1000/1000</f>
        <v>680.10800000000006</v>
      </c>
      <c r="L60" s="17">
        <f>'Datos Actividad'!$W56*'FE Sectorial'!$H59*'FE Sectorial'!M59/1000/1000</f>
        <v>27204.320000000003</v>
      </c>
      <c r="M60" s="17">
        <f>'Datos Actividad'!$W56*'FE Sectorial'!$H59*'FE Sectorial'!N59/1000/1000</f>
        <v>340.05400000000003</v>
      </c>
      <c r="N60" s="17">
        <f>'Datos Actividad'!$W56*'FE Sectorial'!$H59*'FE Sectorial'!O59/1000/1000</f>
        <v>0</v>
      </c>
      <c r="O60" s="87">
        <f>IF(D60&lt;400,H60+I60*'Factores generales'!$M$41+J60*'Factores generales'!$N$41,I60*'Factores generales'!$M$41+J60*'Factores generales'!$N$41)</f>
        <v>12718.0196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Actividad'!$W57*'FE Sectorial'!$H60*'FE Sectorial'!I60*'FE Sectorial'!P60/1000</f>
        <v>180583.60319999998</v>
      </c>
      <c r="I61" s="17">
        <f>'Datos Actividad'!$W57*'FE Sectorial'!$H60*'FE Sectorial'!J60/1000/1000</f>
        <v>55.598399999999998</v>
      </c>
      <c r="J61" s="17">
        <f>'Datos Actividad'!$W57*'FE Sectorial'!$H60*'FE Sectorial'!K60/1000/1000</f>
        <v>7.4131200000000002</v>
      </c>
      <c r="K61" s="17">
        <f>'Datos Actividad'!$W57*'FE Sectorial'!$H60*'FE Sectorial'!L60/1000/1000</f>
        <v>185.328</v>
      </c>
      <c r="L61" s="17">
        <f>'Datos Actividad'!$W57*'FE Sectorial'!$H60*'FE Sectorial'!M60/1000/1000</f>
        <v>3706.56</v>
      </c>
      <c r="M61" s="17">
        <f>'Datos Actividad'!$W57*'FE Sectorial'!$H60*'FE Sectorial'!N60/1000/1000</f>
        <v>92.664000000000001</v>
      </c>
      <c r="N61" s="17">
        <f>'Datos Actividad'!$W57*'FE Sectorial'!$H60*'FE Sectorial'!O60/1000/1000</f>
        <v>475.2</v>
      </c>
      <c r="O61" s="87">
        <f>IF(D61&lt;400,H61+I61*'Factores generales'!$M$41+J61*'Factores generales'!$N$41,I61*'Factores generales'!$M$41+J61*'Factores generales'!$N$41)</f>
        <v>3465.6336000000001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Actividad'!$W58*'FE Sectorial'!$H61*'FE Sectorial'!I61*'FE Sectorial'!P61/1000</f>
        <v>442211.30317571713</v>
      </c>
      <c r="I62" s="17">
        <f>'Datos Actividad'!$W58*'FE Sectorial'!$H61*'FE Sectorial'!J61/1000/1000</f>
        <v>152.48665626748866</v>
      </c>
      <c r="J62" s="17">
        <f>'Datos Actividad'!$W58*'FE Sectorial'!$H61*'FE Sectorial'!K61/1000/1000</f>
        <v>20.331554168998487</v>
      </c>
      <c r="K62" s="17">
        <f>'Datos Actividad'!$W58*'FE Sectorial'!$H61*'FE Sectorial'!L61/1000/1000</f>
        <v>508.28885422496217</v>
      </c>
      <c r="L62" s="17">
        <f>'Datos Actividad'!$W58*'FE Sectorial'!$H61*'FE Sectorial'!M61/1000/1000</f>
        <v>20331.554168998486</v>
      </c>
      <c r="M62" s="17">
        <f>'Datos Actividad'!$W58*'FE Sectorial'!$H61*'FE Sectorial'!N61/1000/1000</f>
        <v>254.14442711248108</v>
      </c>
      <c r="N62" s="17">
        <f>'Datos Actividad'!$W58*'FE Sectorial'!$H61*'FE Sectorial'!O61/1000/1000</f>
        <v>0</v>
      </c>
      <c r="O62" s="87">
        <f>IF(D62&lt;400,H62+I62*'Factores generales'!$M$41+J62*'Factores generales'!$N$41,I62*'Factores generales'!$M$41+J62*'Factores generales'!$N$41)</f>
        <v>9505.001574006792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1300.2624382632125</v>
      </c>
      <c r="J63" s="134">
        <f t="shared" ref="J63:O63" si="15">SUM(J64:J69)</f>
        <v>173.36832510176171</v>
      </c>
      <c r="K63" s="134">
        <f t="shared" si="15"/>
        <v>4334.2081275440423</v>
      </c>
      <c r="L63" s="134">
        <f t="shared" si="15"/>
        <v>173330.8851017617</v>
      </c>
      <c r="M63" s="134">
        <f t="shared" si="15"/>
        <v>2167.1040637720212</v>
      </c>
      <c r="N63" s="134">
        <f t="shared" si="15"/>
        <v>4.8</v>
      </c>
      <c r="O63" s="134">
        <f t="shared" si="15"/>
        <v>81049.691985073601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Actividad'!$W60*'FE Sectorial'!$H63*'FE Sectorial'!I63*'FE Sectorial'!P63/1000</f>
        <v>0</v>
      </c>
      <c r="I64" s="17">
        <f>'Datos Actividad'!$W60*'FE Sectorial'!$H63*'FE Sectorial'!J63/1000/1000</f>
        <v>0</v>
      </c>
      <c r="J64" s="17">
        <f>'Datos Actividad'!$W60*'FE Sectorial'!$H63*'FE Sectorial'!K63/1000/1000</f>
        <v>0</v>
      </c>
      <c r="K64" s="17">
        <f>'Datos Actividad'!$W60*'FE Sectorial'!$H63*'FE Sectorial'!L63/1000/1000</f>
        <v>0</v>
      </c>
      <c r="L64" s="17">
        <f>'Datos Actividad'!$W60*'FE Sectorial'!$H63*'FE Sectorial'!M63/1000/1000</f>
        <v>0</v>
      </c>
      <c r="M64" s="17">
        <f>'Datos Actividad'!$W60*'FE Sectorial'!$H63*'FE Sectorial'!N63/1000/1000</f>
        <v>0</v>
      </c>
      <c r="N64" s="17">
        <f>'Datos Actividad'!$W60*'FE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Actividad'!$W61*'FE Sectorial'!$H64*'FE Sectorial'!I64*'FE Sectorial'!P64/1000</f>
        <v>0</v>
      </c>
      <c r="I65" s="17">
        <f>'Datos Actividad'!$W61*'FE Sectorial'!$H64*'FE Sectorial'!J64/1000/1000</f>
        <v>0</v>
      </c>
      <c r="J65" s="17">
        <f>'Datos Actividad'!$W61*'FE Sectorial'!$H64*'FE Sectorial'!K64/1000/1000</f>
        <v>0</v>
      </c>
      <c r="K65" s="17">
        <f>'Datos Actividad'!$W61*'FE Sectorial'!$H64*'FE Sectorial'!L64/1000/1000</f>
        <v>0</v>
      </c>
      <c r="L65" s="17">
        <f>'Datos Actividad'!$W61*'FE Sectorial'!$H64*'FE Sectorial'!M64/1000/1000</f>
        <v>0</v>
      </c>
      <c r="M65" s="17">
        <f>'Datos Actividad'!$W61*'FE Sectorial'!$H64*'FE Sectorial'!N64/1000/1000</f>
        <v>0</v>
      </c>
      <c r="N65" s="17">
        <f>'Datos Actividad'!$W61*'FE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Actividad'!$W62*'FE Sectorial'!$H65*'FE Sectorial'!I65*'FE Sectorial'!P65/1000</f>
        <v>0</v>
      </c>
      <c r="I66" s="17">
        <f>'Datos Actividad'!$W62*'FE Sectorial'!$H65*'FE Sectorial'!J65/1000/1000</f>
        <v>0</v>
      </c>
      <c r="J66" s="17">
        <f>'Datos Actividad'!$W62*'FE Sectorial'!$H65*'FE Sectorial'!K65/1000/1000</f>
        <v>0</v>
      </c>
      <c r="K66" s="17">
        <f>'Datos Actividad'!$W62*'FE Sectorial'!$H65*'FE Sectorial'!L65/1000/1000</f>
        <v>0</v>
      </c>
      <c r="L66" s="17">
        <f>'Datos Actividad'!$W62*'FE Sectorial'!$H65*'FE Sectorial'!M65/1000/1000</f>
        <v>0</v>
      </c>
      <c r="M66" s="17">
        <f>'Datos Actividad'!$W62*'FE Sectorial'!$H65*'FE Sectorial'!N65/1000/1000</f>
        <v>0</v>
      </c>
      <c r="N66" s="17">
        <f>'Datos Actividad'!$W62*'FE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Actividad'!$W63*'FE Sectorial'!$H66*'FE Sectorial'!I66*'FE Sectorial'!P66/1000</f>
        <v>3352932.4400000009</v>
      </c>
      <c r="I67" s="17">
        <f>'Datos Actividad'!$W63*'FE Sectorial'!$H66*'FE Sectorial'!J66/1000/1000</f>
        <v>1156.1836000000003</v>
      </c>
      <c r="J67" s="17">
        <f>'Datos Actividad'!$W63*'FE Sectorial'!$H66*'FE Sectorial'!K66/1000/1000</f>
        <v>154.15781333333339</v>
      </c>
      <c r="K67" s="17">
        <f>'Datos Actividad'!$W63*'FE Sectorial'!$H66*'FE Sectorial'!L66/1000/1000</f>
        <v>3853.9453333333345</v>
      </c>
      <c r="L67" s="17">
        <f>'Datos Actividad'!$W63*'FE Sectorial'!$H66*'FE Sectorial'!M66/1000/1000</f>
        <v>154157.81333333338</v>
      </c>
      <c r="M67" s="17">
        <f>'Datos Actividad'!$W63*'FE Sectorial'!$H66*'FE Sectorial'!N66/1000/1000</f>
        <v>1926.9726666666672</v>
      </c>
      <c r="N67" s="17">
        <f>'Datos Actividad'!$W63*'FE Sectorial'!$H66*'FE Sectorial'!O66/1000/1000</f>
        <v>0</v>
      </c>
      <c r="O67" s="87">
        <f>IF(D67&lt;400,H67+I67*'Factores generales'!$M$41+J67*'Factores generales'!$N$41,I67*'Factores generales'!$M$41+J67*'Factores generales'!$N$41)</f>
        <v>72068.777733333365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Actividad'!$W64*'FE Sectorial'!$H67*'FE Sectorial'!I67*'FE Sectorial'!P67/1000</f>
        <v>1824.0768</v>
      </c>
      <c r="I68" s="17">
        <f>'Datos Actividad'!$W64*'FE Sectorial'!$H67*'FE Sectorial'!J67/1000/1000</f>
        <v>0.56159999999999999</v>
      </c>
      <c r="J68" s="17">
        <f>'Datos Actividad'!$W64*'FE Sectorial'!$H67*'FE Sectorial'!K67/1000/1000</f>
        <v>7.4880000000000002E-2</v>
      </c>
      <c r="K68" s="17">
        <f>'Datos Actividad'!$W64*'FE Sectorial'!$H67*'FE Sectorial'!L67/1000/1000</f>
        <v>1.8720000000000001</v>
      </c>
      <c r="L68" s="17">
        <f>'Datos Actividad'!$W64*'FE Sectorial'!$H67*'FE Sectorial'!M67/1000/1000</f>
        <v>37.44</v>
      </c>
      <c r="M68" s="17">
        <f>'Datos Actividad'!$W64*'FE Sectorial'!$H67*'FE Sectorial'!N67/1000/1000</f>
        <v>0.93600000000000005</v>
      </c>
      <c r="N68" s="17">
        <f>'Datos Actividad'!$W64*'FE Sectorial'!$H67*'FE Sectorial'!O67/1000/1000</f>
        <v>4.8</v>
      </c>
      <c r="O68" s="87">
        <f>IF(D68&lt;400,H68+I68*'Factores generales'!$M$41+J68*'Factores generales'!$N$41,I68*'Factores generales'!$M$41+J68*'Factores generales'!$N$41)</f>
        <v>35.006399999999999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Actividad'!$W65*'FE Sectorial'!$H68*'FE Sectorial'!I68*'FE Sectorial'!P68/1000</f>
        <v>416199.99096331565</v>
      </c>
      <c r="I69" s="17">
        <f>'Datos Actividad'!$W65*'FE Sectorial'!$H68*'FE Sectorial'!J68/1000/1000</f>
        <v>143.51723826321228</v>
      </c>
      <c r="J69" s="17">
        <f>'Datos Actividad'!$W65*'FE Sectorial'!$H68*'FE Sectorial'!K68/1000/1000</f>
        <v>19.135631768428304</v>
      </c>
      <c r="K69" s="17">
        <f>'Datos Actividad'!$W65*'FE Sectorial'!$H68*'FE Sectorial'!L68/1000/1000</f>
        <v>478.39079421070767</v>
      </c>
      <c r="L69" s="17">
        <f>'Datos Actividad'!$W65*'FE Sectorial'!$H68*'FE Sectorial'!M68/1000/1000</f>
        <v>19135.631768428306</v>
      </c>
      <c r="M69" s="17">
        <f>'Datos Actividad'!$W65*'FE Sectorial'!$H68*'FE Sectorial'!N68/1000/1000</f>
        <v>239.19539710535383</v>
      </c>
      <c r="N69" s="17">
        <f>'Datos Actividad'!$W65*'FE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8945.9078517402322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16518003.529529985</v>
      </c>
      <c r="I70" s="134">
        <f t="shared" si="16"/>
        <v>553.36468714641887</v>
      </c>
      <c r="J70" s="134">
        <f t="shared" si="16"/>
        <v>79.403235515680564</v>
      </c>
      <c r="K70" s="134">
        <f t="shared" si="16"/>
        <v>45004.166108189354</v>
      </c>
      <c r="L70" s="134">
        <f t="shared" si="16"/>
        <v>30352.468964760275</v>
      </c>
      <c r="M70" s="134">
        <f t="shared" si="16"/>
        <v>1793.3603770223658</v>
      </c>
      <c r="N70" s="134">
        <f t="shared" si="16"/>
        <v>7799.8937150777638</v>
      </c>
      <c r="O70" s="134">
        <f t="shared" si="16"/>
        <v>16554239.190969918</v>
      </c>
    </row>
    <row r="71" spans="1:15" outlineLevel="1" x14ac:dyDescent="0.25">
      <c r="B71" s="1" t="s">
        <v>36</v>
      </c>
      <c r="G71" s="1"/>
      <c r="H71" s="15">
        <f>H72+H73+H74+H76</f>
        <v>421357.0857425002</v>
      </c>
      <c r="I71" s="15">
        <f>SUM(I72:I76)</f>
        <v>71.35461376231514</v>
      </c>
      <c r="J71" s="15">
        <f t="shared" ref="J71:O71" si="17">SUM(J72:J76)</f>
        <v>15.569120643472692</v>
      </c>
      <c r="K71" s="15">
        <f t="shared" si="17"/>
        <v>1552.2641286945382</v>
      </c>
      <c r="L71" s="15">
        <f t="shared" si="17"/>
        <v>5126.1920643472695</v>
      </c>
      <c r="M71" s="15">
        <f t="shared" si="17"/>
        <v>200.15227524630254</v>
      </c>
      <c r="N71" s="15">
        <f t="shared" si="17"/>
        <v>1241.7033887280472</v>
      </c>
      <c r="O71" s="15">
        <f t="shared" si="17"/>
        <v>427681.96003098541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Actividad'!$W68*'FE Sectorial'!$H71*'FE Sectorial'!I71*'FE Sectorial'!P71/1000</f>
        <v>0</v>
      </c>
      <c r="I72" s="17">
        <f>'Datos Actividad'!$W68*'FE Sectorial'!$H71*'FE Sectorial'!J71/1000/1000</f>
        <v>0</v>
      </c>
      <c r="J72" s="17">
        <f>'Datos Actividad'!$W68*'FE Sectorial'!$H71*'FE Sectorial'!K71/1000/1000</f>
        <v>0</v>
      </c>
      <c r="K72" s="17">
        <f>'Datos Actividad'!$W68*'FE Sectorial'!$H71*'FE Sectorial'!L71/1000/1000</f>
        <v>0</v>
      </c>
      <c r="L72" s="17">
        <f>'Datos Actividad'!$W68*'FE Sectorial'!$H71*'FE Sectorial'!M71/1000/1000</f>
        <v>0</v>
      </c>
      <c r="M72" s="17">
        <f>'Datos Actividad'!$W68*'FE Sectorial'!$H71*'FE Sectorial'!N71/1000/1000</f>
        <v>0</v>
      </c>
      <c r="N72" s="17">
        <f>'Datos Actividad'!$W68*'FE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Actividad'!$W69*'FE Sectorial'!$H72*'FE Sectorial'!I72*'FE Sectorial'!P72/1000</f>
        <v>0</v>
      </c>
      <c r="I73" s="17">
        <f>'Datos Actividad'!$W69*'FE Sectorial'!$H72*'FE Sectorial'!J72/1000/1000</f>
        <v>0</v>
      </c>
      <c r="J73" s="17">
        <f>'Datos Actividad'!$W69*'FE Sectorial'!$H72*'FE Sectorial'!K72/1000/1000</f>
        <v>0</v>
      </c>
      <c r="K73" s="17">
        <f>'Datos Actividad'!$W69*'FE Sectorial'!$H72*'FE Sectorial'!L72/1000/1000</f>
        <v>0</v>
      </c>
      <c r="L73" s="17">
        <f>'Datos Actividad'!$W69*'FE Sectorial'!$H72*'FE Sectorial'!M72/1000/1000</f>
        <v>0</v>
      </c>
      <c r="M73" s="17">
        <f>'Datos Actividad'!$W69*'FE Sectorial'!$H72*'FE Sectorial'!N72/1000/1000</f>
        <v>0</v>
      </c>
      <c r="N73" s="17">
        <f>'Datos Actividad'!$W69*'FE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Actividad'!$W70*'FE Sectorial'!$H73*'FE Sectorial'!I73*'FE Sectorial'!P73/1000</f>
        <v>356505.22203947371</v>
      </c>
      <c r="I74" s="17">
        <f>'Datos Actividad'!$W70*'FE Sectorial'!$H73*'FE Sectorial'!J73/1000/1000</f>
        <v>3.7310855263157894</v>
      </c>
      <c r="J74" s="17">
        <f>'Datos Actividad'!$W70*'FE Sectorial'!$H73*'FE Sectorial'!K73/1000/1000</f>
        <v>5.596628289473685</v>
      </c>
      <c r="K74" s="17">
        <f>'Datos Actividad'!$W70*'FE Sectorial'!$H73*'FE Sectorial'!L73/1000/1000</f>
        <v>1119.3256578947371</v>
      </c>
      <c r="L74" s="17">
        <f>'Datos Actividad'!$W70*'FE Sectorial'!$H73*'FE Sectorial'!M73/1000/1000</f>
        <v>559.66282894736855</v>
      </c>
      <c r="M74" s="17">
        <f>'Datos Actividad'!$W70*'FE Sectorial'!$H73*'FE Sectorial'!N73/1000/1000</f>
        <v>74.62171052631578</v>
      </c>
      <c r="N74" s="17">
        <f>'Datos Actividad'!$W70*'FE Sectorial'!$H73*'FE Sectorial'!O73/1000/1000</f>
        <v>0</v>
      </c>
      <c r="O74" s="87">
        <f>IF(D74&lt;400,H74+I74*'Factores generales'!$M$41+J74*'Factores generales'!$N$41,I74*'Factores generales'!$M$41+J74*'Factores generales'!$N$41)</f>
        <v>358318.5296052632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Actividad'!$W71*'FE Sectorial'!$H74*'FE Sectorial'!I74*'FE Sectorial'!P74/1000</f>
        <v>217369.152</v>
      </c>
      <c r="I75" s="17">
        <f>'Datos Actividad'!$W71*'FE Sectorial'!$H74*'FE Sectorial'!J74/1000/1000</f>
        <v>66.924000000000007</v>
      </c>
      <c r="J75" s="17">
        <f>'Datos Actividad'!$W71*'FE Sectorial'!$H74*'FE Sectorial'!K74/1000/1000</f>
        <v>8.9232000000000014</v>
      </c>
      <c r="K75" s="17">
        <f>'Datos Actividad'!$W71*'FE Sectorial'!$H74*'FE Sectorial'!L74/1000/1000</f>
        <v>223.08</v>
      </c>
      <c r="L75" s="17">
        <f>'Datos Actividad'!$W71*'FE Sectorial'!$H74*'FE Sectorial'!M74/1000/1000</f>
        <v>4461.6000000000004</v>
      </c>
      <c r="M75" s="17">
        <f>'Datos Actividad'!$W71*'FE Sectorial'!$H74*'FE Sectorial'!N74/1000/1000</f>
        <v>111.54</v>
      </c>
      <c r="N75" s="17">
        <f>'Datos Actividad'!$W71*'FE Sectorial'!$H74*'FE Sectorial'!O74/1000/1000</f>
        <v>572</v>
      </c>
      <c r="O75" s="87">
        <f>IF(D75&lt;400,H75+I75*'Factores generales'!$M$41+J75*'Factores generales'!$N$41,I75*'Factores generales'!$M$41+J75*'Factores generales'!$N$41)</f>
        <v>4171.5960000000005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Actividad'!$W72*'FE Sectorial'!$H75*'FE Sectorial'!I75*'FE Sectorial'!P75/1000</f>
        <v>64851.863703026516</v>
      </c>
      <c r="I76" s="17">
        <f>'Datos Actividad'!$W72*'FE Sectorial'!$H75*'FE Sectorial'!J75/1000/1000</f>
        <v>0.69952823599933689</v>
      </c>
      <c r="J76" s="17">
        <f>'Datos Actividad'!$W72*'FE Sectorial'!$H75*'FE Sectorial'!K75/1000/1000</f>
        <v>1.0492923539990053</v>
      </c>
      <c r="K76" s="17">
        <f>'Datos Actividad'!$W72*'FE Sectorial'!$H75*'FE Sectorial'!L75/1000/1000</f>
        <v>209.85847079980107</v>
      </c>
      <c r="L76" s="17">
        <f>'Datos Actividad'!$W72*'FE Sectorial'!$H75*'FE Sectorial'!M75/1000/1000</f>
        <v>104.92923539990053</v>
      </c>
      <c r="M76" s="17">
        <f>'Datos Actividad'!$W72*'FE Sectorial'!$H75*'FE Sectorial'!N75/1000/1000</f>
        <v>13.990564719986736</v>
      </c>
      <c r="N76" s="17">
        <f>'Datos Actividad'!$W72*'FE Sectorial'!$H75*'FE Sectorial'!O75/1000/1000</f>
        <v>669.70338872804723</v>
      </c>
      <c r="O76" s="87">
        <f>IF(D76&lt;400,H76+I76*'Factores generales'!$M$41+J76*'Factores generales'!$N$41,I76*'Factores generales'!$M$41+J76*'Factores generales'!$N$41)</f>
        <v>65191.834425722191</v>
      </c>
    </row>
    <row r="77" spans="1:15" outlineLevel="1" x14ac:dyDescent="0.25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Actividad'!$W74*'FE Sectorial'!$H77*'FE Sectorial'!I77*'FE Sectorial'!P77/1000</f>
        <v>0</v>
      </c>
      <c r="I78" s="17">
        <f>'Datos Actividad'!$W74*'FE Sectorial'!$H77*'FE Sectorial'!J77/1000/1000</f>
        <v>0</v>
      </c>
      <c r="J78" s="17">
        <f>'Datos Actividad'!$W74*'FE Sectorial'!$H77*'FE Sectorial'!K77/1000/1000</f>
        <v>0</v>
      </c>
      <c r="K78" s="17">
        <f>'Datos Actividad'!$W74*'FE Sectorial'!$H77*'FE Sectorial'!L77/1000/1000</f>
        <v>0</v>
      </c>
      <c r="L78" s="17">
        <f>'Datos Actividad'!$W74*'FE Sectorial'!$H77*'FE Sectorial'!M77/1000/1000</f>
        <v>0</v>
      </c>
      <c r="M78" s="17">
        <f>'Datos Actividad'!$W74*'FE Sectorial'!$H77*'FE Sectorial'!N77/1000/1000</f>
        <v>0</v>
      </c>
      <c r="N78" s="17">
        <f>'Datos Actividad'!$W74*'FE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Actividad'!$W75*'FE Sectorial'!$H78*'FE Sectorial'!I78*'FE Sectorial'!P78/1000</f>
        <v>0</v>
      </c>
      <c r="I79" s="17">
        <f>'Datos Actividad'!$W75*'FE Sectorial'!$H78*'FE Sectorial'!J78/1000/1000</f>
        <v>0</v>
      </c>
      <c r="J79" s="17">
        <f>'Datos Actividad'!$W75*'FE Sectorial'!$H78*'FE Sectorial'!K78/1000/1000</f>
        <v>0</v>
      </c>
      <c r="K79" s="17">
        <f>'Datos Actividad'!$W75*'FE Sectorial'!$H78*'FE Sectorial'!L78/1000/1000</f>
        <v>0</v>
      </c>
      <c r="L79" s="17">
        <f>'Datos Actividad'!$W75*'FE Sectorial'!$H78*'FE Sectorial'!M78/1000/1000</f>
        <v>0</v>
      </c>
      <c r="M79" s="17">
        <f>'Datos Actividad'!$W75*'FE Sectorial'!$H78*'FE Sectorial'!N78/1000/1000</f>
        <v>0</v>
      </c>
      <c r="N79" s="17">
        <f>'Datos Actividad'!$W75*'FE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0</v>
      </c>
      <c r="I80" s="15">
        <f>SUM(I81:I85)</f>
        <v>132.7507764203271</v>
      </c>
      <c r="J80" s="15">
        <f t="shared" ref="J80:O80" si="19">SUM(J81:J85)</f>
        <v>17.700103522710283</v>
      </c>
      <c r="K80" s="15">
        <f t="shared" si="19"/>
        <v>442.50258806775707</v>
      </c>
      <c r="L80" s="15">
        <f t="shared" si="19"/>
        <v>17700.103522710284</v>
      </c>
      <c r="M80" s="15">
        <f t="shared" si="19"/>
        <v>221.25129403387854</v>
      </c>
      <c r="N80" s="15">
        <f t="shared" si="19"/>
        <v>0</v>
      </c>
      <c r="O80" s="15">
        <f t="shared" si="19"/>
        <v>8274.798396867056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Actividad'!$W77*'FE Sectorial'!$H80*'FE Sectorial'!I80*'FE Sectorial'!P80/1000</f>
        <v>0</v>
      </c>
      <c r="I81" s="17">
        <f>'Datos Actividad'!$W77*'FE Sectorial'!$H80*'FE Sectorial'!J80/1000/1000</f>
        <v>0</v>
      </c>
      <c r="J81" s="17">
        <f>'Datos Actividad'!$W77*'FE Sectorial'!$H80*'FE Sectorial'!K80/1000/1000</f>
        <v>0</v>
      </c>
      <c r="K81" s="17">
        <f>'Datos Actividad'!$W77*'FE Sectorial'!$H80*'FE Sectorial'!L80/1000/1000</f>
        <v>0</v>
      </c>
      <c r="L81" s="17">
        <f>'Datos Actividad'!$W77*'FE Sectorial'!$H80*'FE Sectorial'!M80/1000/1000</f>
        <v>0</v>
      </c>
      <c r="M81" s="17">
        <f>'Datos Actividad'!$W77*'FE Sectorial'!$H80*'FE Sectorial'!N80/1000/1000</f>
        <v>0</v>
      </c>
      <c r="N81" s="17">
        <f>'Datos Actividad'!$W77*'FE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Actividad'!$W78*'FE Sectorial'!$H81*'FE Sectorial'!I81*'FE Sectorial'!P81/1000</f>
        <v>0</v>
      </c>
      <c r="I82" s="17">
        <f>'Datos Actividad'!$W78*'FE Sectorial'!$H81*'FE Sectorial'!J81/1000/1000</f>
        <v>0</v>
      </c>
      <c r="J82" s="17">
        <f>'Datos Actividad'!$W78*'FE Sectorial'!$H81*'FE Sectorial'!K81/1000/1000</f>
        <v>0</v>
      </c>
      <c r="K82" s="17">
        <f>'Datos Actividad'!$W78*'FE Sectorial'!$H81*'FE Sectorial'!L81/1000/1000</f>
        <v>0</v>
      </c>
      <c r="L82" s="17">
        <f>'Datos Actividad'!$W78*'FE Sectorial'!$H81*'FE Sectorial'!M81/1000/1000</f>
        <v>0</v>
      </c>
      <c r="M82" s="17">
        <f>'Datos Actividad'!$W78*'FE Sectorial'!$H81*'FE Sectorial'!N81/1000/1000</f>
        <v>0</v>
      </c>
      <c r="N82" s="17">
        <f>'Datos Actividad'!$W78*'FE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Actividad'!$W79*'FE Sectorial'!$H82*'FE Sectorial'!I82*'FE Sectorial'!P82/1000</f>
        <v>0</v>
      </c>
      <c r="I83" s="95">
        <f>'Datos Actividad'!$W79*'FE Sectorial'!$H82*'FE Sectorial'!J82/1000/1000</f>
        <v>0</v>
      </c>
      <c r="J83" s="17">
        <f>'Datos Actividad'!$W79*'FE Sectorial'!$H82*'FE Sectorial'!K82/1000/1000</f>
        <v>0</v>
      </c>
      <c r="K83" s="17">
        <f>'Datos Actividad'!$W79*'FE Sectorial'!$H82*'FE Sectorial'!L82/1000/1000</f>
        <v>0</v>
      </c>
      <c r="L83" s="17">
        <f>'Datos Actividad'!$W79*'FE Sectorial'!$H82*'FE Sectorial'!M82/1000/1000</f>
        <v>0</v>
      </c>
      <c r="M83" s="17">
        <f>'Datos Actividad'!$W79*'FE Sectorial'!$H82*'FE Sectorial'!N82/1000/1000</f>
        <v>0</v>
      </c>
      <c r="N83" s="17">
        <f>'Datos Actividad'!$W79*'FE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Actividad'!$W80*'FE Sectorial'!$H83*'FE Sectorial'!I83*'FE Sectorial'!P83/1000</f>
        <v>0</v>
      </c>
      <c r="I84" s="95">
        <f>'Datos Actividad'!$W80*'FE Sectorial'!$H83*'FE Sectorial'!J83/1000/1000</f>
        <v>0</v>
      </c>
      <c r="J84" s="17">
        <f>'Datos Actividad'!$W80*'FE Sectorial'!$H83*'FE Sectorial'!K83/1000/1000</f>
        <v>0</v>
      </c>
      <c r="K84" s="17">
        <f>'Datos Actividad'!$W80*'FE Sectorial'!$H83*'FE Sectorial'!L83/1000/1000</f>
        <v>0</v>
      </c>
      <c r="L84" s="17">
        <f>'Datos Actividad'!$W80*'FE Sectorial'!$H83*'FE Sectorial'!M83/1000/1000</f>
        <v>0</v>
      </c>
      <c r="M84" s="17">
        <f>'Datos Actividad'!$W80*'FE Sectorial'!$H83*'FE Sectorial'!N83/1000/1000</f>
        <v>0</v>
      </c>
      <c r="N84" s="17">
        <f>'Datos Actividad'!$W80*'FE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Actividad'!$W81*'FE Sectorial'!$H84*'FE Sectorial'!I84*'FE Sectorial'!P84/1000</f>
        <v>384977.25161894865</v>
      </c>
      <c r="I85" s="95">
        <f>'Datos Actividad'!$W81*'FE Sectorial'!$H84*'FE Sectorial'!J84/1000/1000</f>
        <v>132.7507764203271</v>
      </c>
      <c r="J85" s="17">
        <f>'Datos Actividad'!$W81*'FE Sectorial'!$H84*'FE Sectorial'!K84/1000/1000</f>
        <v>17.700103522710283</v>
      </c>
      <c r="K85" s="17">
        <f>'Datos Actividad'!$W81*'FE Sectorial'!$H84*'FE Sectorial'!L84/1000/1000</f>
        <v>442.50258806775707</v>
      </c>
      <c r="L85" s="17">
        <f>'Datos Actividad'!$W81*'FE Sectorial'!$H84*'FE Sectorial'!M84/1000/1000</f>
        <v>17700.103522710284</v>
      </c>
      <c r="M85" s="17">
        <f>'Datos Actividad'!$W81*'FE Sectorial'!$H84*'FE Sectorial'!N84/1000/1000</f>
        <v>221.25129403387854</v>
      </c>
      <c r="N85" s="17">
        <f>'Datos Actividad'!$W81*'FE Sectorial'!$H84*'FE Sectorial'!O84/1000/1000</f>
        <v>0</v>
      </c>
      <c r="O85" s="87">
        <f>IF(D85&lt;400,H85+I85*'Factores generales'!$M$41+J85*'Factores generales'!$N$41,I85*'Factores generales'!$M$41+J85*'Factores generales'!$N$41)</f>
        <v>8274.798396867056</v>
      </c>
    </row>
    <row r="86" spans="2:15" outlineLevel="1" x14ac:dyDescent="0.25">
      <c r="B86" s="1" t="s">
        <v>38</v>
      </c>
      <c r="G86" s="1"/>
      <c r="H86" s="15">
        <f>H87+H88</f>
        <v>0</v>
      </c>
      <c r="I86" s="15">
        <f>I87+I88+I89</f>
        <v>0.33162988771547519</v>
      </c>
      <c r="J86" s="15">
        <f t="shared" ref="J86:O86" si="20">J87+J88+J89</f>
        <v>4.4217318362063364E-2</v>
      </c>
      <c r="K86" s="15">
        <f t="shared" si="20"/>
        <v>1.1054329590515841</v>
      </c>
      <c r="L86" s="15">
        <f t="shared" si="20"/>
        <v>44.217318362063367</v>
      </c>
      <c r="M86" s="15">
        <f t="shared" si="20"/>
        <v>0.55271647952579206</v>
      </c>
      <c r="N86" s="15">
        <f t="shared" si="20"/>
        <v>0</v>
      </c>
      <c r="O86" s="15">
        <f t="shared" si="20"/>
        <v>20.671596334264621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Actividad'!$W83*'FE Sectorial'!$H86*'FE Sectorial'!I86*'FE Sectorial'!P86/1000</f>
        <v>0</v>
      </c>
      <c r="I87" s="17">
        <f>'Datos Actividad'!$W83*'FE Sectorial'!$H86*'FE Sectorial'!J86/1000/1000</f>
        <v>0</v>
      </c>
      <c r="J87" s="17">
        <f>'Datos Actividad'!$W83*'FE Sectorial'!$H86*'FE Sectorial'!K86/1000/1000</f>
        <v>0</v>
      </c>
      <c r="K87" s="17">
        <f>'Datos Actividad'!$W83*'FE Sectorial'!$H86*'FE Sectorial'!L86/1000/1000</f>
        <v>0</v>
      </c>
      <c r="L87" s="17">
        <f>'Datos Actividad'!$W83*'FE Sectorial'!$H86*'FE Sectorial'!M86/1000/1000</f>
        <v>0</v>
      </c>
      <c r="M87" s="17">
        <f>'Datos Actividad'!$W83*'FE Sectorial'!$H86*'FE Sectorial'!N86/1000/1000</f>
        <v>0</v>
      </c>
      <c r="N87" s="17">
        <f>'Datos Actividad'!$W83*'FE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Actividad'!$W84*'FE Sectorial'!$H87*'FE Sectorial'!I87*'FE Sectorial'!P87/1000</f>
        <v>0</v>
      </c>
      <c r="I88" s="17">
        <f>'Datos Actividad'!$W84*'FE Sectorial'!$H87*'FE Sectorial'!J87/1000/1000</f>
        <v>0</v>
      </c>
      <c r="J88" s="17">
        <f>'Datos Actividad'!$W84*'FE Sectorial'!$H87*'FE Sectorial'!K87/1000/1000</f>
        <v>0</v>
      </c>
      <c r="K88" s="17">
        <f>'Datos Actividad'!$W84*'FE Sectorial'!$H87*'FE Sectorial'!L87/1000/1000</f>
        <v>0</v>
      </c>
      <c r="L88" s="17">
        <f>'Datos Actividad'!$W84*'FE Sectorial'!$H87*'FE Sectorial'!M87/1000/1000</f>
        <v>0</v>
      </c>
      <c r="M88" s="17">
        <f>'Datos Actividad'!$W84*'FE Sectorial'!$H87*'FE Sectorial'!N87/1000/1000</f>
        <v>0</v>
      </c>
      <c r="N88" s="17">
        <f>'Datos Actividad'!$W84*'FE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Actividad'!$W85*'FE Sectorial'!$H88*'FE Sectorial'!I88*'FE Sectorial'!P88/1000</f>
        <v>961.72667437487814</v>
      </c>
      <c r="I89" s="95">
        <f>'Datos Actividad'!$W85*'FE Sectorial'!$H88*'FE Sectorial'!J88/1000/1000</f>
        <v>0.33162988771547519</v>
      </c>
      <c r="J89" s="17">
        <f>'Datos Actividad'!$W85*'FE Sectorial'!$H88*'FE Sectorial'!K88/1000/1000</f>
        <v>4.4217318362063364E-2</v>
      </c>
      <c r="K89" s="17">
        <f>'Datos Actividad'!$W85*'FE Sectorial'!$H88*'FE Sectorial'!L88/1000/1000</f>
        <v>1.1054329590515841</v>
      </c>
      <c r="L89" s="17">
        <f>'Datos Actividad'!$W85*'FE Sectorial'!$H88*'FE Sectorial'!M88/1000/1000</f>
        <v>44.217318362063367</v>
      </c>
      <c r="M89" s="17">
        <f>'Datos Actividad'!$W85*'FE Sectorial'!$H88*'FE Sectorial'!N88/1000/1000</f>
        <v>0.55271647952579206</v>
      </c>
      <c r="N89" s="17">
        <f>'Datos Actividad'!$W85*'FE Sectorial'!$H88*'FE Sectorial'!O88/1000/1000</f>
        <v>0</v>
      </c>
      <c r="O89" s="87">
        <f>IF(D89&lt;400,H89+I89*'Factores generales'!$M$41+J89*'Factores generales'!$N$41,I89*'Factores generales'!$M$41+J89*'Factores generales'!$N$41)</f>
        <v>20.671596334264621</v>
      </c>
    </row>
    <row r="90" spans="2:15" outlineLevel="1" x14ac:dyDescent="0.25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Actividad'!$W87*'FE Sectorial'!$H90*'FE Sectorial'!I90*'FE Sectorial'!P90/1000</f>
        <v>0</v>
      </c>
      <c r="I91" s="17">
        <f>'Datos Actividad'!$W87*'FE Sectorial'!$H90*'FE Sectorial'!J90/1000/1000</f>
        <v>0</v>
      </c>
      <c r="J91" s="17">
        <f>'Datos Actividad'!$W87*'FE Sectorial'!$H90*'FE Sectorial'!K90/1000/1000</f>
        <v>0</v>
      </c>
      <c r="K91" s="17">
        <f>'Datos Actividad'!$W87*'FE Sectorial'!$H90*'FE Sectorial'!L90/1000/1000</f>
        <v>0</v>
      </c>
      <c r="L91" s="17">
        <f>'Datos Actividad'!$W87*'FE Sectorial'!$H90*'FE Sectorial'!M90/1000/1000</f>
        <v>0</v>
      </c>
      <c r="M91" s="17">
        <f>'Datos Actividad'!$W87*'FE Sectorial'!$H90*'FE Sectorial'!N90/1000/1000</f>
        <v>0</v>
      </c>
      <c r="N91" s="17">
        <f>'Datos Actividad'!$W87*'FE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Actividad'!$W88*'FE Sectorial'!$H91*'FE Sectorial'!I91*'FE Sectorial'!P91/1000</f>
        <v>0</v>
      </c>
      <c r="I92" s="17">
        <f>'Datos Actividad'!$W88*'FE Sectorial'!$H91*'FE Sectorial'!J91/1000/1000</f>
        <v>0</v>
      </c>
      <c r="J92" s="17">
        <f>'Datos Actividad'!$W88*'FE Sectorial'!$H91*'FE Sectorial'!K91/1000/1000</f>
        <v>0</v>
      </c>
      <c r="K92" s="17">
        <f>'Datos Actividad'!$W88*'FE Sectorial'!$H91*'FE Sectorial'!L91/1000/1000</f>
        <v>0</v>
      </c>
      <c r="L92" s="17">
        <f>'Datos Actividad'!$W88*'FE Sectorial'!$H91*'FE Sectorial'!M91/1000/1000</f>
        <v>0</v>
      </c>
      <c r="M92" s="17">
        <f>'Datos Actividad'!$W88*'FE Sectorial'!$H91*'FE Sectorial'!N91/1000/1000</f>
        <v>0</v>
      </c>
      <c r="N92" s="17">
        <f>'Datos Actividad'!$W88*'FE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Actividad'!$W89*'FE Sectorial'!$H92*'FE Sectorial'!I92*'FE Sectorial'!P92/1000</f>
        <v>0</v>
      </c>
      <c r="I93" s="17">
        <f>'Datos Actividad'!$W89*'FE Sectorial'!$H92*'FE Sectorial'!J92/1000/1000</f>
        <v>0</v>
      </c>
      <c r="J93" s="17">
        <f>'Datos Actividad'!$W89*'FE Sectorial'!$H92*'FE Sectorial'!K92/1000/1000</f>
        <v>0</v>
      </c>
      <c r="K93" s="17">
        <f>'Datos Actividad'!$W89*'FE Sectorial'!$H92*'FE Sectorial'!L92/1000/1000</f>
        <v>0</v>
      </c>
      <c r="L93" s="17">
        <f>'Datos Actividad'!$W89*'FE Sectorial'!$H92*'FE Sectorial'!M92/1000/1000</f>
        <v>0</v>
      </c>
      <c r="M93" s="17">
        <f>'Datos Actividad'!$W89*'FE Sectorial'!$H92*'FE Sectorial'!N92/1000/1000</f>
        <v>0</v>
      </c>
      <c r="N93" s="17">
        <f>'Datos Actividad'!$W89*'FE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16096646.443787485</v>
      </c>
      <c r="I94" s="15">
        <f t="shared" ref="I94:O94" si="22">SUM(I95:I100)</f>
        <v>348.9276670760612</v>
      </c>
      <c r="J94" s="15">
        <f t="shared" si="22"/>
        <v>46.089794031135526</v>
      </c>
      <c r="K94" s="15">
        <f t="shared" si="22"/>
        <v>43008.293958468006</v>
      </c>
      <c r="L94" s="15">
        <f t="shared" si="22"/>
        <v>7481.9560593406604</v>
      </c>
      <c r="M94" s="15">
        <f t="shared" si="22"/>
        <v>1371.404091262659</v>
      </c>
      <c r="N94" s="15">
        <f t="shared" si="22"/>
        <v>6558.190326349717</v>
      </c>
      <c r="O94" s="15">
        <f t="shared" si="22"/>
        <v>16118261.760945732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Actividad'!$W91*'FE Sectorial'!$H94*'FE Sectorial'!I94*'FE Sectorial'!P94/1000</f>
        <v>12999997.691259084</v>
      </c>
      <c r="I95" s="17">
        <f>'Datos Actividad'!$W91*'FE Sectorial'!$H94*'FE Sectorial'!J94/1000/1000</f>
        <v>232.89348151199999</v>
      </c>
      <c r="J95" s="17">
        <f>'Datos Actividad'!$W91*'FE Sectorial'!$H94*'FE Sectorial'!K94/1000/1000</f>
        <v>23.289348151199999</v>
      </c>
      <c r="K95" s="17">
        <f>'Datos Actividad'!$W91*'FE Sectorial'!$H94*'FE Sectorial'!L94/1000/1000</f>
        <v>34934.022226799992</v>
      </c>
      <c r="L95" s="17">
        <f>'Datos Actividad'!$W91*'FE Sectorial'!$H94*'FE Sectorial'!M94/1000/1000</f>
        <v>6986.8044453599996</v>
      </c>
      <c r="M95" s="17">
        <f>'Datos Actividad'!$W91*'FE Sectorial'!$H94*'FE Sectorial'!N94/1000/1000</f>
        <v>1164.4674075599999</v>
      </c>
      <c r="N95" s="17">
        <f>'Datos Actividad'!$W91*'FE Sectorial'!$H94*'FE Sectorial'!O94/1000/1000</f>
        <v>0</v>
      </c>
      <c r="O95" s="87">
        <f>IF(D95&lt;400,H95+I95*'Factores generales'!$M$41+J95*'Factores generales'!$N$41,I95*'Factores generales'!$M$41+J95*'Factores generales'!$N$41)</f>
        <v>13012108.152297707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Actividad'!$W92*'FE Sectorial'!$H95*'FE Sectorial'!I95*'FE Sectorial'!P95/1000</f>
        <v>253868.5392657535</v>
      </c>
      <c r="I96" s="17">
        <f>'Datos Actividad'!$W92*'FE Sectorial'!$H95*'FE Sectorial'!J95/1000/1000</f>
        <v>4.0639123287671248</v>
      </c>
      <c r="J96" s="17">
        <f>'Datos Actividad'!$W92*'FE Sectorial'!$H95*'FE Sectorial'!K95/1000/1000</f>
        <v>0.40639123287671247</v>
      </c>
      <c r="K96" s="17">
        <f>'Datos Actividad'!$W92*'FE Sectorial'!$H95*'FE Sectorial'!L95/1000/1000</f>
        <v>609.58684931506866</v>
      </c>
      <c r="L96" s="17">
        <f>'Datos Actividad'!$W92*'FE Sectorial'!$H95*'FE Sectorial'!M95/1000/1000</f>
        <v>121.91736986301375</v>
      </c>
      <c r="M96" s="17">
        <f>'Datos Actividad'!$W92*'FE Sectorial'!$H95*'FE Sectorial'!N95/1000/1000</f>
        <v>20.319561643835623</v>
      </c>
      <c r="N96" s="17">
        <f>'Datos Actividad'!$W92*'FE Sectorial'!$H95*'FE Sectorial'!O95/1000/1000</f>
        <v>17.183561643835628</v>
      </c>
      <c r="O96" s="87">
        <f>IF(D96&lt;400,H96+I96*'Factores generales'!$M$41+J96*'Factores generales'!$N$41,I96*'Factores generales'!$M$41+J96*'Factores generales'!$N$41)</f>
        <v>254079.86270684938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Actividad'!$W93*'FE Sectorial'!$H96*'FE Sectorial'!I96*'FE Sectorial'!P96/1000</f>
        <v>385421.17374264647</v>
      </c>
      <c r="I97" s="17">
        <f>'Datos Actividad'!$W93*'FE Sectorial'!$H96*'FE Sectorial'!J96/1000/1000</f>
        <v>15.761713235294094</v>
      </c>
      <c r="J97" s="17">
        <f>'Datos Actividad'!$W93*'FE Sectorial'!$H96*'FE Sectorial'!K96/1000/1000</f>
        <v>3.1523426470588189</v>
      </c>
      <c r="K97" s="17">
        <f>'Datos Actividad'!$W93*'FE Sectorial'!$H96*'FE Sectorial'!L96/1000/1000</f>
        <v>1050.7808823529397</v>
      </c>
      <c r="L97" s="17">
        <f>'Datos Actividad'!$W93*'FE Sectorial'!$H96*'FE Sectorial'!M96/1000/1000</f>
        <v>52.539044117646974</v>
      </c>
      <c r="M97" s="17">
        <f>'Datos Actividad'!$W93*'FE Sectorial'!$H96*'FE Sectorial'!N96/1000/1000</f>
        <v>26.269522058823487</v>
      </c>
      <c r="N97" s="17">
        <f>'Datos Actividad'!$W93*'FE Sectorial'!$H96*'FE Sectorial'!O96/1000/1000</f>
        <v>190.60676470588206</v>
      </c>
      <c r="O97" s="87">
        <f>IF(D97&lt;400,H97+I97*'Factores generales'!$M$41+J97*'Factores generales'!$N$41,I97*'Factores generales'!$M$41+J97*'Factores generales'!$N$41)</f>
        <v>386729.39594117593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Actividad'!$W94*'FE Sectorial'!$H97*'FE Sectorial'!I97*'FE Sectorial'!P97/1000</f>
        <v>2457359.0395200001</v>
      </c>
      <c r="I98" s="17">
        <f>'Datos Actividad'!$W94*'FE Sectorial'!$H97*'FE Sectorial'!J97/1000/1000</f>
        <v>96.208559999999991</v>
      </c>
      <c r="J98" s="17">
        <f>'Datos Actividad'!$W94*'FE Sectorial'!$H97*'FE Sectorial'!K97/1000/1000</f>
        <v>19.241712</v>
      </c>
      <c r="K98" s="17">
        <f>'Datos Actividad'!$W94*'FE Sectorial'!$H97*'FE Sectorial'!L97/1000/1000</f>
        <v>6413.9040000000005</v>
      </c>
      <c r="L98" s="17">
        <f>'Datos Actividad'!$W94*'FE Sectorial'!$H97*'FE Sectorial'!M97/1000/1000</f>
        <v>320.6952</v>
      </c>
      <c r="M98" s="17">
        <f>'Datos Actividad'!$W94*'FE Sectorial'!$H97*'FE Sectorial'!N97/1000/1000</f>
        <v>160.3476</v>
      </c>
      <c r="N98" s="17">
        <f>'Datos Actividad'!$W94*'FE Sectorial'!$H97*'FE Sectorial'!O97/1000/1000</f>
        <v>6350.4</v>
      </c>
      <c r="O98" s="87">
        <f>IF(D98&lt;400,H98+I98*'Factores generales'!$M$41+J98*'Factores generales'!$N$41,I98*'Factores generales'!$M$41+J98*'Factores generales'!$N$41)</f>
        <v>2465344.35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Actividad'!$W95*'FE Sectorial'!$H98*'FE Sectorial'!I98*'FE Sectorial'!P98/1000</f>
        <v>0</v>
      </c>
      <c r="I99" s="17">
        <f>'Datos Actividad'!$W95*'FE Sectorial'!$H98*'FE Sectorial'!J98/1000/1000</f>
        <v>0</v>
      </c>
      <c r="J99" s="17">
        <f>'Datos Actividad'!$W95*'FE Sectorial'!$H98*'FE Sectorial'!K98/1000/1000</f>
        <v>0</v>
      </c>
      <c r="K99" s="17">
        <f>'Datos Actividad'!$W95*'FE Sectorial'!$H98*'FE Sectorial'!L98/1000/1000</f>
        <v>0</v>
      </c>
      <c r="L99" s="17">
        <f>'Datos Actividad'!$W95*'FE Sectorial'!$H98*'FE Sectorial'!M98/1000/1000</f>
        <v>0</v>
      </c>
      <c r="M99" s="17">
        <f>'Datos Actividad'!$W95*'FE Sectorial'!$H98*'FE Sectorial'!N98/1000/1000</f>
        <v>0</v>
      </c>
      <c r="N99" s="17">
        <f>'Datos Actividad'!$W95*'FE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Actividad'!$W96*'FE Sectorial'!$H99*'FE Sectorial'!I99*'FE Sectorial'!P99/1000</f>
        <v>0</v>
      </c>
      <c r="I100" s="17">
        <f>'Datos Actividad'!$W96*'FE Sectorial'!$H99*'FE Sectorial'!J99/1000/1000</f>
        <v>0</v>
      </c>
      <c r="J100" s="17">
        <f>'Datos Actividad'!$W96*'FE Sectorial'!$H99*'FE Sectorial'!K99/1000/1000</f>
        <v>0</v>
      </c>
      <c r="K100" s="17">
        <f>'Datos Actividad'!$W96*'FE Sectorial'!$H99*'FE Sectorial'!L99/1000/1000</f>
        <v>0</v>
      </c>
      <c r="L100" s="17">
        <f>'Datos Actividad'!$W96*'FE Sectorial'!$H99*'FE Sectorial'!M99/1000/1000</f>
        <v>0</v>
      </c>
      <c r="M100" s="17">
        <f>'Datos Actividad'!$W96*'FE Sectorial'!$H99*'FE Sectorial'!N99/1000/1000</f>
        <v>0</v>
      </c>
      <c r="N100" s="17">
        <f>'Datos Actividad'!$W96*'FE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36200092.785328597</v>
      </c>
      <c r="I101" s="129">
        <f t="shared" si="23"/>
        <v>9345.372865302119</v>
      </c>
      <c r="J101" s="129">
        <f t="shared" si="23"/>
        <v>2925.8587882071406</v>
      </c>
      <c r="K101" s="129">
        <f t="shared" si="23"/>
        <v>348447.63057021343</v>
      </c>
      <c r="L101" s="129">
        <f t="shared" si="23"/>
        <v>1978304.9525609484</v>
      </c>
      <c r="M101" s="129">
        <f t="shared" si="23"/>
        <v>372038.59295047045</v>
      </c>
      <c r="N101" s="129">
        <f t="shared" si="23"/>
        <v>10221.69170208914</v>
      </c>
      <c r="O101" s="129">
        <f t="shared" si="23"/>
        <v>37303361.83984416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934670.5127559118</v>
      </c>
      <c r="I102" s="134">
        <f t="shared" ref="I102:O102" si="24">I105</f>
        <v>6.6021792241005297</v>
      </c>
      <c r="J102" s="134">
        <f t="shared" si="24"/>
        <v>26.408716896402119</v>
      </c>
      <c r="K102" s="134">
        <f t="shared" si="24"/>
        <v>3301.0896120502648</v>
      </c>
      <c r="L102" s="134">
        <f t="shared" si="24"/>
        <v>1320.4358448201058</v>
      </c>
      <c r="M102" s="134">
        <f t="shared" si="24"/>
        <v>660.21792241005289</v>
      </c>
      <c r="N102" s="134">
        <f t="shared" si="24"/>
        <v>598.83711783224749</v>
      </c>
      <c r="O102" s="134">
        <f t="shared" si="24"/>
        <v>942995.86075750249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1814172.1857877781</v>
      </c>
      <c r="I103" s="15">
        <f t="shared" ref="I103:O103" si="25">I104</f>
        <v>12.81466543609365</v>
      </c>
      <c r="J103" s="15">
        <f t="shared" si="25"/>
        <v>51.258661744374599</v>
      </c>
      <c r="K103" s="15">
        <f t="shared" si="25"/>
        <v>6407.332718046825</v>
      </c>
      <c r="L103" s="15">
        <f t="shared" si="25"/>
        <v>2562.9330872187297</v>
      </c>
      <c r="M103" s="15">
        <f t="shared" si="25"/>
        <v>1281.4665436093649</v>
      </c>
      <c r="N103" s="15">
        <f t="shared" si="25"/>
        <v>1162.3279307114421</v>
      </c>
      <c r="O103" s="15">
        <f t="shared" si="25"/>
        <v>1830331.4789026922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Actividad'!$W100*'FE Sectorial'!$H103*'FE Sectorial'!I103*'FE Sectorial'!P103/1000</f>
        <v>1814172.1857877781</v>
      </c>
      <c r="I104" s="17">
        <f>'Datos Actividad'!$W100*'FE Sectorial'!$H103*'FE Sectorial'!J103/1000/1000</f>
        <v>12.81466543609365</v>
      </c>
      <c r="J104" s="17">
        <f>'Datos Actividad'!$W100*'FE Sectorial'!$H103*'FE Sectorial'!K103/1000/1000</f>
        <v>51.258661744374599</v>
      </c>
      <c r="K104" s="17">
        <f>'Datos Actividad'!$W100*'FE Sectorial'!$H103*'FE Sectorial'!L103/1000/1000</f>
        <v>6407.332718046825</v>
      </c>
      <c r="L104" s="17">
        <f>'Datos Actividad'!$W100*'FE Sectorial'!$H103*'FE Sectorial'!M103/1000/1000</f>
        <v>2562.9330872187297</v>
      </c>
      <c r="M104" s="17">
        <f>'Datos Actividad'!$W100*'FE Sectorial'!$H103*'FE Sectorial'!N103/1000/1000</f>
        <v>1281.4665436093649</v>
      </c>
      <c r="N104" s="17">
        <f>'Datos Actividad'!$W100*'FE Sectorial'!$H103*'FE Sectorial'!O103/1000/1000</f>
        <v>1162.3279307114421</v>
      </c>
      <c r="O104" s="87">
        <f>IF(D104&lt;400,H104+I104*'Factores generales'!$M$41+J104*'Factores generales'!$N$41,I104*'Factores generales'!$M$41+J104*'Factores generales'!$N$41)</f>
        <v>1830331.4789026922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934670.5127559118</v>
      </c>
      <c r="I105" s="15">
        <f t="shared" ref="I105:O105" si="26">I106</f>
        <v>6.6021792241005297</v>
      </c>
      <c r="J105" s="15">
        <f t="shared" si="26"/>
        <v>26.408716896402119</v>
      </c>
      <c r="K105" s="15">
        <f t="shared" si="26"/>
        <v>3301.0896120502648</v>
      </c>
      <c r="L105" s="15">
        <f t="shared" si="26"/>
        <v>1320.4358448201058</v>
      </c>
      <c r="M105" s="15">
        <f t="shared" si="26"/>
        <v>660.21792241005289</v>
      </c>
      <c r="N105" s="15">
        <f t="shared" si="26"/>
        <v>598.83711783224749</v>
      </c>
      <c r="O105" s="15">
        <f t="shared" si="26"/>
        <v>942995.86075750249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Actividad'!$W102*'FE Sectorial'!$H105*'FE Sectorial'!I105*'FE Sectorial'!P105/1000</f>
        <v>934670.5127559118</v>
      </c>
      <c r="I106" s="17">
        <f>'Datos Actividad'!$W102*'FE Sectorial'!$H105*'FE Sectorial'!J105/1000/1000</f>
        <v>6.6021792241005297</v>
      </c>
      <c r="J106" s="17">
        <f>'Datos Actividad'!$W102*'FE Sectorial'!$H105*'FE Sectorial'!K105/1000/1000</f>
        <v>26.408716896402119</v>
      </c>
      <c r="K106" s="17">
        <f>'Datos Actividad'!$W102*'FE Sectorial'!$H105*'FE Sectorial'!L105/1000/1000</f>
        <v>3301.0896120502648</v>
      </c>
      <c r="L106" s="17">
        <f>'Datos Actividad'!$W102*'FE Sectorial'!$H105*'FE Sectorial'!M105/1000/1000</f>
        <v>1320.4358448201058</v>
      </c>
      <c r="M106" s="17">
        <f>'Datos Actividad'!$W102*'FE Sectorial'!$H105*'FE Sectorial'!N105/1000/1000</f>
        <v>660.21792241005289</v>
      </c>
      <c r="N106" s="17">
        <f>'Datos Actividad'!$W102*'FE Sectorial'!$H105*'FE Sectorial'!O105/1000/1000</f>
        <v>598.83711783224749</v>
      </c>
      <c r="O106" s="87">
        <f>IF(D106&lt;400,H106+I106*'Factores generales'!$M$41+J106*'Factores generales'!$N$41,I106*'Factores generales'!$M$41+J106*'Factores generales'!$N$41)</f>
        <v>942995.86075750249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33185084.035106387</v>
      </c>
      <c r="I107" s="134">
        <f t="shared" si="27"/>
        <v>9267.9337775859403</v>
      </c>
      <c r="J107" s="134">
        <f t="shared" si="27"/>
        <v>2705.8693122706172</v>
      </c>
      <c r="K107" s="134">
        <f t="shared" si="27"/>
        <v>329588.36927071889</v>
      </c>
      <c r="L107" s="134">
        <f t="shared" si="27"/>
        <v>1967329.3103989451</v>
      </c>
      <c r="M107" s="134">
        <f t="shared" si="27"/>
        <v>369422.10953605192</v>
      </c>
      <c r="N107" s="134">
        <f t="shared" si="27"/>
        <v>9159.1554410458957</v>
      </c>
      <c r="O107" s="134">
        <f t="shared" si="27"/>
        <v>34218530.131239586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30554027.316900991</v>
      </c>
      <c r="I108" s="15">
        <f t="shared" ref="I108:O108" si="28">I109+I110+I111+I112+I113</f>
        <v>9128.0583539705549</v>
      </c>
      <c r="J108" s="15">
        <f t="shared" si="28"/>
        <v>2565.9938886552322</v>
      </c>
      <c r="K108" s="15">
        <f t="shared" si="28"/>
        <v>300895.97468294756</v>
      </c>
      <c r="L108" s="15">
        <f t="shared" si="28"/>
        <v>1931463.8171642311</v>
      </c>
      <c r="M108" s="15">
        <f t="shared" si="28"/>
        <v>362249.01088910911</v>
      </c>
      <c r="N108" s="15">
        <f t="shared" si="28"/>
        <v>7857.9887097399869</v>
      </c>
      <c r="O108" s="15">
        <f t="shared" si="28"/>
        <v>31541174.647817496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Actividad'!$W105*'FE Sectorial'!$H108*'FE Sectorial'!I108*'FE Sectorial'!P108/1000</f>
        <v>1811572.6656012482</v>
      </c>
      <c r="I109" s="17">
        <f>'Datos Actividad'!$W105*'FE Sectorial'!$H108*'FE Sectorial'!J108/1000/1000</f>
        <v>2985.778898688</v>
      </c>
      <c r="J109" s="17">
        <f>'Datos Actividad'!$W105*'FE Sectorial'!$H108*'FE Sectorial'!K108/1000/1000</f>
        <v>97.362355391999998</v>
      </c>
      <c r="K109" s="17">
        <f>'Datos Actividad'!$W105*'FE Sectorial'!$H108*'FE Sectorial'!L108/1000/1000</f>
        <v>19472.471078400002</v>
      </c>
      <c r="L109" s="17">
        <f>'Datos Actividad'!$W105*'FE Sectorial'!$H108*'FE Sectorial'!M108/1000/1000</f>
        <v>12981.647385600001</v>
      </c>
      <c r="M109" s="17">
        <f>'Datos Actividad'!$W105*'FE Sectorial'!$H108*'FE Sectorial'!N108/1000/1000</f>
        <v>162.27059231999999</v>
      </c>
      <c r="N109" s="17">
        <f>'Datos Actividad'!$W105*'FE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1904456.352645216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Actividad'!$W106*'FE Sectorial'!$H109*'FE Sectorial'!I109*'FE Sectorial'!P109/1000</f>
        <v>13916692.1227127</v>
      </c>
      <c r="I110" s="17">
        <f>'Datos Actividad'!$W106*'FE Sectorial'!$H109*'FE Sectorial'!J109/1000/1000</f>
        <v>739.85604054825626</v>
      </c>
      <c r="J110" s="17">
        <f>'Datos Actividad'!$W106*'FE Sectorial'!$H109*'FE Sectorial'!K109/1000/1000</f>
        <v>739.85604054825626</v>
      </c>
      <c r="K110" s="17">
        <f>'Datos Actividad'!$W106*'FE Sectorial'!$H109*'FE Sectorial'!L109/1000/1000</f>
        <v>151765.34165092438</v>
      </c>
      <c r="L110" s="17">
        <f>'Datos Actividad'!$W106*'FE Sectorial'!$H109*'FE Sectorial'!M109/1000/1000</f>
        <v>189706.67706365546</v>
      </c>
      <c r="M110" s="17">
        <f>'Datos Actividad'!$W106*'FE Sectorial'!$H109*'FE Sectorial'!N109/1000/1000</f>
        <v>37941.335412731096</v>
      </c>
      <c r="N110" s="17">
        <f>'Datos Actividad'!$W106*'FE Sectorial'!$H109*'FE Sectorial'!O109/1000/1000</f>
        <v>6882.3817725419194</v>
      </c>
      <c r="O110" s="87">
        <f>IF(D110&lt;400,H110+I110*'Factores generales'!$M$41+J110*'Factores generales'!$N$41,I110*'Factores generales'!$M$41+J110*'Factores generales'!$N$41)</f>
        <v>14161584.472134173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Actividad'!$W107*'FE Sectorial'!$H110*'FE Sectorial'!I110*'FE Sectorial'!P110/1000</f>
        <v>14825762.528587043</v>
      </c>
      <c r="I111" s="17">
        <f>'Datos Actividad'!$W107*'FE Sectorial'!$H110*'FE Sectorial'!J110/1000/1000</f>
        <v>5402.4234147342995</v>
      </c>
      <c r="J111" s="17">
        <f>'Datos Actividad'!$W107*'FE Sectorial'!$H110*'FE Sectorial'!K110/1000/1000</f>
        <v>1728.7754927149758</v>
      </c>
      <c r="K111" s="17">
        <f>'Datos Actividad'!$W107*'FE Sectorial'!$H110*'FE Sectorial'!L110/1000/1000</f>
        <v>129658.16195362319</v>
      </c>
      <c r="L111" s="17">
        <f>'Datos Actividad'!$W107*'FE Sectorial'!$H110*'FE Sectorial'!M110/1000/1000</f>
        <v>1728775.4927149757</v>
      </c>
      <c r="M111" s="17">
        <f>'Datos Actividad'!$W107*'FE Sectorial'!$H110*'FE Sectorial'!N110/1000/1000</f>
        <v>324145.40488405799</v>
      </c>
      <c r="N111" s="17">
        <f>'Datos Actividad'!$W107*'FE Sectorial'!$H110*'FE Sectorial'!O110/1000/1000</f>
        <v>975.60693719806761</v>
      </c>
      <c r="O111" s="87">
        <f>IF(D111&lt;400,H111+I111*'Factores generales'!$M$41+J111*'Factores generales'!$N$41,I111*'Factores generales'!$M$41+J111*'Factores generales'!$N$41)</f>
        <v>15475133.823038107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Actividad'!$W108*'FE Sectorial'!$H111*'FE Sectorial'!I111*'FE Sectorial'!P111/1000</f>
        <v>0</v>
      </c>
      <c r="I112" s="17">
        <f>'Datos Actividad'!$W108*'FE Sectorial'!$H111*'FE Sectorial'!J111/1000/1000</f>
        <v>0</v>
      </c>
      <c r="J112" s="17">
        <f>'Datos Actividad'!$W108*'FE Sectorial'!$H111*'FE Sectorial'!K111/1000/1000</f>
        <v>0</v>
      </c>
      <c r="K112" s="17">
        <f>'Datos Actividad'!$W108*'FE Sectorial'!$H111*'FE Sectorial'!L111/1000/1000</f>
        <v>0</v>
      </c>
      <c r="L112" s="17">
        <f>'Datos Actividad'!$W108*'FE Sectorial'!$H111*'FE Sectorial'!M111/1000/1000</f>
        <v>0</v>
      </c>
      <c r="M112" s="17">
        <f>'Datos Actividad'!$W108*'FE Sectorial'!$H111*'FE Sectorial'!N111/1000/1000</f>
        <v>0</v>
      </c>
      <c r="N112" s="17">
        <f>'Datos Actividad'!$W108*'FE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Actividad'!$W109*'FE Sectorial'!$H112*'FE Sectorial'!I112*'FE Sectorial'!P112/1000</f>
        <v>0</v>
      </c>
      <c r="I113" s="17">
        <f>'Datos Actividad'!$W109*'FE Sectorial'!$H112*'FE Sectorial'!J112/1000/1000</f>
        <v>0</v>
      </c>
      <c r="J113" s="17">
        <f>'Datos Actividad'!$W109*'FE Sectorial'!$H112*'FE Sectorial'!K112/1000/1000</f>
        <v>0</v>
      </c>
      <c r="K113" s="17">
        <f>'Datos Actividad'!$W109*'FE Sectorial'!$H112*'FE Sectorial'!L112/1000/1000</f>
        <v>0</v>
      </c>
      <c r="L113" s="17">
        <f>'Datos Actividad'!$W109*'FE Sectorial'!$H112*'FE Sectorial'!M112/1000/1000</f>
        <v>0</v>
      </c>
      <c r="M113" s="17">
        <f>'Datos Actividad'!$W109*'FE Sectorial'!$H112*'FE Sectorial'!N112/1000/1000</f>
        <v>0</v>
      </c>
      <c r="N113" s="17">
        <f>'Datos Actividad'!$W109*'FE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2631056.7182053947</v>
      </c>
      <c r="I114" s="15">
        <f t="shared" ref="I114:O114" si="29">I115</f>
        <v>139.87542361538513</v>
      </c>
      <c r="J114" s="15">
        <f t="shared" si="29"/>
        <v>139.87542361538513</v>
      </c>
      <c r="K114" s="15">
        <f t="shared" si="29"/>
        <v>28692.394587771312</v>
      </c>
      <c r="L114" s="15">
        <f t="shared" si="29"/>
        <v>35865.493234714144</v>
      </c>
      <c r="M114" s="15">
        <f t="shared" si="29"/>
        <v>7173.0986469428281</v>
      </c>
      <c r="N114" s="15">
        <f t="shared" si="29"/>
        <v>1301.1667313059083</v>
      </c>
      <c r="O114" s="15">
        <f t="shared" si="29"/>
        <v>2677355.483422087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Actividad'!$W111*'FE Sectorial'!$H114*'FE Sectorial'!I114*'FE Sectorial'!P114/1000</f>
        <v>2631056.7182053947</v>
      </c>
      <c r="I115" s="17">
        <f>'Datos Actividad'!$W111*'FE Sectorial'!$H114*'FE Sectorial'!J114/1000/1000</f>
        <v>139.87542361538513</v>
      </c>
      <c r="J115" s="17">
        <f>'Datos Actividad'!$W111*'FE Sectorial'!$H114*'FE Sectorial'!K114/1000/1000</f>
        <v>139.87542361538513</v>
      </c>
      <c r="K115" s="17">
        <f>'Datos Actividad'!$W111*'FE Sectorial'!$H114*'FE Sectorial'!L114/1000/1000</f>
        <v>28692.394587771312</v>
      </c>
      <c r="L115" s="17">
        <f>'Datos Actividad'!$W111*'FE Sectorial'!$H114*'FE Sectorial'!M114/1000/1000</f>
        <v>35865.493234714144</v>
      </c>
      <c r="M115" s="17">
        <f>'Datos Actividad'!$W111*'FE Sectorial'!$H114*'FE Sectorial'!N114/1000/1000</f>
        <v>7173.0986469428281</v>
      </c>
      <c r="N115" s="17">
        <f>'Datos Actividad'!$W111*'FE Sectorial'!$H114*'FE Sectorial'!O114/1000/1000</f>
        <v>1301.1667313059083</v>
      </c>
      <c r="O115" s="87">
        <f>IF(D115&lt;400,H115+I115*'Factores generales'!$M$41+J115*'Factores generales'!$N$41,I115*'Factores generales'!$M$41+J115*'Factores generales'!$N$41)</f>
        <v>2677355.483422087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476370.5552721062</v>
      </c>
      <c r="I116" s="134">
        <f t="shared" ref="I116:O116" si="30">I117</f>
        <v>26.948810703243513</v>
      </c>
      <c r="J116" s="134">
        <f t="shared" si="30"/>
        <v>185.71951472596734</v>
      </c>
      <c r="K116" s="134">
        <f t="shared" si="30"/>
        <v>7792.4271912993299</v>
      </c>
      <c r="L116" s="134">
        <f t="shared" si="30"/>
        <v>6493.6893260827746</v>
      </c>
      <c r="M116" s="134">
        <f t="shared" si="30"/>
        <v>1298.7378652165548</v>
      </c>
      <c r="N116" s="134">
        <f t="shared" si="30"/>
        <v>235.58500810904948</v>
      </c>
      <c r="O116" s="134">
        <f t="shared" si="30"/>
        <v>534509.52986192424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Actividad'!$W113*'FE Sectorial'!$H116*'FE Sectorial'!I116*'FE Sectorial'!P116/1000</f>
        <v>476370.5552721062</v>
      </c>
      <c r="I117" s="17">
        <f>'Datos Actividad'!$W113*'FE Sectorial'!$H116*'FE Sectorial'!J116/1000/1000</f>
        <v>26.948810703243513</v>
      </c>
      <c r="J117" s="17">
        <f>'Datos Actividad'!$W113*'FE Sectorial'!$H116*'FE Sectorial'!K116/1000/1000</f>
        <v>185.71951472596734</v>
      </c>
      <c r="K117" s="17">
        <f>'Datos Actividad'!$W113*'FE Sectorial'!$H116*'FE Sectorial'!L116/1000/1000</f>
        <v>7792.4271912993299</v>
      </c>
      <c r="L117" s="17">
        <f>'Datos Actividad'!$W113*'FE Sectorial'!$H116*'FE Sectorial'!M116/1000/1000</f>
        <v>6493.6893260827746</v>
      </c>
      <c r="M117" s="17">
        <f>'Datos Actividad'!$W113*'FE Sectorial'!$H116*'FE Sectorial'!N116/1000/1000</f>
        <v>1298.7378652165548</v>
      </c>
      <c r="N117" s="17">
        <f>'Datos Actividad'!$W113*'FE Sectorial'!$H116*'FE Sectorial'!O116/1000/1000</f>
        <v>235.58500810904948</v>
      </c>
      <c r="O117" s="87">
        <f>IF(D117&lt;400,H117+I117*'Factores generales'!$M$41+J117*'Factores generales'!$N$41,I117*'Factores generales'!$M$41+J117*'Factores generales'!$N$41)</f>
        <v>534509.52986192424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197637.41491544485</v>
      </c>
      <c r="I118" s="134">
        <f t="shared" ref="I118:O118" si="31">I122</f>
        <v>18.60885451118628</v>
      </c>
      <c r="J118" s="134">
        <f t="shared" si="31"/>
        <v>5.3168155746246502</v>
      </c>
      <c r="K118" s="134">
        <f t="shared" si="31"/>
        <v>3987.6116809684881</v>
      </c>
      <c r="L118" s="134">
        <f t="shared" si="31"/>
        <v>2658.4077873123251</v>
      </c>
      <c r="M118" s="134">
        <f t="shared" si="31"/>
        <v>531.68155746246498</v>
      </c>
      <c r="N118" s="134">
        <f t="shared" si="31"/>
        <v>226.11825274900528</v>
      </c>
      <c r="O118" s="134">
        <f t="shared" si="31"/>
        <v>199676.41368831342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1178476.1515360349</v>
      </c>
      <c r="I119" s="15">
        <f t="shared" ref="I119:O119" si="32">I120+I121</f>
        <v>109.21626495500001</v>
      </c>
      <c r="J119" s="15">
        <f t="shared" si="32"/>
        <v>31.204647129999998</v>
      </c>
      <c r="K119" s="15">
        <f t="shared" si="32"/>
        <v>23403.485347500002</v>
      </c>
      <c r="L119" s="15">
        <f t="shared" si="32"/>
        <v>15602.323564999999</v>
      </c>
      <c r="M119" s="15">
        <f t="shared" si="32"/>
        <v>3120.4647129999998</v>
      </c>
      <c r="N119" s="15">
        <f t="shared" si="32"/>
        <v>2244.6014778000003</v>
      </c>
      <c r="O119" s="15">
        <f t="shared" si="32"/>
        <v>1190443.13371039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Actividad'!$W116*'FE Sectorial'!$H119*'FE Sectorial'!I119*'FE Sectorial'!P119/1000</f>
        <v>383242.81882243499</v>
      </c>
      <c r="I120" s="17">
        <f>'Datos Actividad'!$W116*'FE Sectorial'!$H119*'FE Sectorial'!J119/1000/1000</f>
        <v>36.569469755</v>
      </c>
      <c r="J120" s="17">
        <f>'Datos Actividad'!$W116*'FE Sectorial'!$H119*'FE Sectorial'!K119/1000/1000</f>
        <v>10.44841993</v>
      </c>
      <c r="K120" s="17">
        <f>'Datos Actividad'!$W116*'FE Sectorial'!$H119*'FE Sectorial'!L119/1000/1000</f>
        <v>7836.3149475</v>
      </c>
      <c r="L120" s="17">
        <f>'Datos Actividad'!$W116*'FE Sectorial'!$H119*'FE Sectorial'!M119/1000/1000</f>
        <v>5224.209965</v>
      </c>
      <c r="M120" s="17">
        <f>'Datos Actividad'!$W116*'FE Sectorial'!$H119*'FE Sectorial'!N119/1000/1000</f>
        <v>1044.841993</v>
      </c>
      <c r="N120" s="17">
        <f>'Datos Actividad'!$W116*'FE Sectorial'!$H119*'FE Sectorial'!O119/1000/1000</f>
        <v>189.52947780000002</v>
      </c>
      <c r="O120" s="87">
        <f>IF(D120&lt;400,H120+I120*'Factores generales'!$M$41+J120*'Factores generales'!$N$41,I120*'Factores generales'!$M$41+J120*'Factores generales'!$N$41)</f>
        <v>387249.78786559001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Actividad'!$W117*'FE Sectorial'!$H120*'FE Sectorial'!I120*'FE Sectorial'!P120/1000</f>
        <v>795233.3327135999</v>
      </c>
      <c r="I121" s="17">
        <f>'Datos Actividad'!$W117*'FE Sectorial'!$H120*'FE Sectorial'!J120/1000/1000</f>
        <v>72.646795200000014</v>
      </c>
      <c r="J121" s="17">
        <f>'Datos Actividad'!$W117*'FE Sectorial'!$H120*'FE Sectorial'!K120/1000/1000</f>
        <v>20.756227199999998</v>
      </c>
      <c r="K121" s="17">
        <f>'Datos Actividad'!$W117*'FE Sectorial'!$H120*'FE Sectorial'!L120/1000/1000</f>
        <v>15567.170400000001</v>
      </c>
      <c r="L121" s="17">
        <f>'Datos Actividad'!$W117*'FE Sectorial'!$H120*'FE Sectorial'!M120/1000/1000</f>
        <v>10378.113599999999</v>
      </c>
      <c r="M121" s="17">
        <f>'Datos Actividad'!$W117*'FE Sectorial'!$H120*'FE Sectorial'!N120/1000/1000</f>
        <v>2075.6227199999998</v>
      </c>
      <c r="N121" s="17">
        <f>'Datos Actividad'!$W117*'FE Sectorial'!$H120*'FE Sectorial'!O120/1000/1000</f>
        <v>2055.0720000000001</v>
      </c>
      <c r="O121" s="87">
        <f>IF(D121&lt;400,H121+I121*'Factores generales'!$M$41+J121*'Factores generales'!$N$41,I121*'Factores generales'!$M$41+J121*'Factores generales'!$N$41)</f>
        <v>803193.34584479989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197637.41491544485</v>
      </c>
      <c r="I122" s="15">
        <f t="shared" ref="I122:O122" si="33">I123+I124</f>
        <v>18.60885451118628</v>
      </c>
      <c r="J122" s="15">
        <f t="shared" si="33"/>
        <v>5.3168155746246502</v>
      </c>
      <c r="K122" s="15">
        <f t="shared" si="33"/>
        <v>3987.6116809684881</v>
      </c>
      <c r="L122" s="15">
        <f t="shared" si="33"/>
        <v>2658.4077873123251</v>
      </c>
      <c r="M122" s="15">
        <f t="shared" si="33"/>
        <v>531.68155746246498</v>
      </c>
      <c r="N122" s="15">
        <f t="shared" si="33"/>
        <v>226.11825274900528</v>
      </c>
      <c r="O122" s="15">
        <f t="shared" si="33"/>
        <v>199676.41368831342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Actividad'!$W119*'FE Sectorial'!$H122*'FE Sectorial'!I122*'FE Sectorial'!P122/1000</f>
        <v>136203.43892744486</v>
      </c>
      <c r="I123" s="17">
        <f>'Datos Actividad'!$W119*'FE Sectorial'!$H122*'FE Sectorial'!J122/1000/1000</f>
        <v>12.996688511186278</v>
      </c>
      <c r="J123" s="17">
        <f>'Datos Actividad'!$W119*'FE Sectorial'!$H122*'FE Sectorial'!K122/1000/1000</f>
        <v>3.7133395746246505</v>
      </c>
      <c r="K123" s="17">
        <f>'Datos Actividad'!$W119*'FE Sectorial'!$H122*'FE Sectorial'!L122/1000/1000</f>
        <v>2785.0046809684882</v>
      </c>
      <c r="L123" s="17">
        <f>'Datos Actividad'!$W119*'FE Sectorial'!$H122*'FE Sectorial'!M122/1000/1000</f>
        <v>1856.6697873123253</v>
      </c>
      <c r="M123" s="17">
        <f>'Datos Actividad'!$W119*'FE Sectorial'!$H122*'FE Sectorial'!N122/1000/1000</f>
        <v>371.33395746246504</v>
      </c>
      <c r="N123" s="17">
        <f>'Datos Actividad'!$W119*'FE Sectorial'!$H122*'FE Sectorial'!O122/1000/1000</f>
        <v>67.358252749005288</v>
      </c>
      <c r="O123" s="87">
        <f>IF(D123&lt;400,H123+I123*'Factores generales'!$M$41+J123*'Factores generales'!$N$41,I123*'Factores generales'!$M$41+J123*'Factores generales'!$N$41)</f>
        <v>137627.50465431341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Actividad'!$W120*'FE Sectorial'!$H123*'FE Sectorial'!I123*'FE Sectorial'!P123/1000</f>
        <v>61433.975988000006</v>
      </c>
      <c r="I124" s="17">
        <f>'Datos Actividad'!$W120*'FE Sectorial'!$H123*'FE Sectorial'!J123/1000/1000</f>
        <v>5.6121660000000002</v>
      </c>
      <c r="J124" s="17">
        <f>'Datos Actividad'!$W120*'FE Sectorial'!$H123*'FE Sectorial'!K123/1000/1000</f>
        <v>1.6034760000000001</v>
      </c>
      <c r="K124" s="17">
        <f>'Datos Actividad'!$W120*'FE Sectorial'!$H123*'FE Sectorial'!L123/1000/1000</f>
        <v>1202.607</v>
      </c>
      <c r="L124" s="17">
        <f>'Datos Actividad'!$W120*'FE Sectorial'!$H123*'FE Sectorial'!M123/1000/1000</f>
        <v>801.73800000000006</v>
      </c>
      <c r="M124" s="17">
        <f>'Datos Actividad'!$W120*'FE Sectorial'!$H123*'FE Sectorial'!N123/1000/1000</f>
        <v>160.3476</v>
      </c>
      <c r="N124" s="17">
        <f>'Datos Actividad'!$W120*'FE Sectorial'!$H123*'FE Sectorial'!O123/1000/1000</f>
        <v>158.76</v>
      </c>
      <c r="O124" s="87">
        <f>IF(D124&lt;400,H124+I124*'Factores generales'!$M$41+J124*'Factores generales'!$N$41,I124*'Factores generales'!$M$41+J124*'Factores generales'!$N$41)</f>
        <v>62048.909034000004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1406330.2672787439</v>
      </c>
      <c r="I125" s="134">
        <f t="shared" si="34"/>
        <v>25.279243277647062</v>
      </c>
      <c r="J125" s="134">
        <f t="shared" si="34"/>
        <v>2.5444287395294123</v>
      </c>
      <c r="K125" s="134">
        <f t="shared" si="34"/>
        <v>3778.132815176471</v>
      </c>
      <c r="L125" s="134">
        <f t="shared" si="34"/>
        <v>503.10920378823528</v>
      </c>
      <c r="M125" s="134">
        <f t="shared" si="34"/>
        <v>125.84606932941176</v>
      </c>
      <c r="N125" s="134">
        <f t="shared" si="34"/>
        <v>1.9958823529411767</v>
      </c>
      <c r="O125" s="134">
        <f t="shared" si="34"/>
        <v>1407649.9042968287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1406330.2672787439</v>
      </c>
      <c r="I126" s="15">
        <f t="shared" si="35"/>
        <v>25.279243277647062</v>
      </c>
      <c r="J126" s="15">
        <f t="shared" si="35"/>
        <v>2.5444287395294123</v>
      </c>
      <c r="K126" s="15">
        <f t="shared" si="35"/>
        <v>3778.132815176471</v>
      </c>
      <c r="L126" s="15">
        <f t="shared" si="35"/>
        <v>503.10920378823528</v>
      </c>
      <c r="M126" s="15">
        <f t="shared" si="35"/>
        <v>125.84606932941176</v>
      </c>
      <c r="N126" s="15">
        <f t="shared" si="35"/>
        <v>1.9958823529411767</v>
      </c>
      <c r="O126" s="15">
        <f t="shared" si="35"/>
        <v>1407649.9042968287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Actividad'!$W123*'FE Sectorial'!$H126*'FE Sectorial'!I126*'FE Sectorial'!P126/1000</f>
        <v>1385690.1506712004</v>
      </c>
      <c r="I127" s="17">
        <f>'Datos Actividad'!$W123*'FE Sectorial'!$H126*'FE Sectorial'!J126/1000/1000</f>
        <v>24.824481600000002</v>
      </c>
      <c r="J127" s="17">
        <f>'Datos Actividad'!$W123*'FE Sectorial'!$H126*'FE Sectorial'!K126/1000/1000</f>
        <v>2.4824481600000006</v>
      </c>
      <c r="K127" s="17">
        <f>'Datos Actividad'!$W123*'FE Sectorial'!$H126*'FE Sectorial'!L126/1000/1000</f>
        <v>3723.6722400000003</v>
      </c>
      <c r="L127" s="17">
        <f>'Datos Actividad'!$W123*'FE Sectorial'!$H126*'FE Sectorial'!M126/1000/1000</f>
        <v>496.48963199999997</v>
      </c>
      <c r="M127" s="17">
        <f>'Datos Actividad'!$W123*'FE Sectorial'!$H126*'FE Sectorial'!N126/1000/1000</f>
        <v>124.12240799999999</v>
      </c>
      <c r="N127" s="17">
        <f>'Datos Actividad'!$W123*'FE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1386981.0237144004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Actividad'!$W124*'FE Sectorial'!$H127*'FE Sectorial'!I127*'FE Sectorial'!P127/1000</f>
        <v>4035.8238088235294</v>
      </c>
      <c r="I128" s="17">
        <f>'Datos Actividad'!$W124*'FE Sectorial'!$H127*'FE Sectorial'!J127/1000/1000</f>
        <v>0.16504411764705881</v>
      </c>
      <c r="J128" s="17">
        <f>'Datos Actividad'!$W124*'FE Sectorial'!$H127*'FE Sectorial'!K127/1000/1000</f>
        <v>3.3008823529411764E-2</v>
      </c>
      <c r="K128" s="17">
        <f>'Datos Actividad'!$W124*'FE Sectorial'!$H127*'FE Sectorial'!L127/1000/1000</f>
        <v>11.002941176470589</v>
      </c>
      <c r="L128" s="17">
        <f>'Datos Actividad'!$W124*'FE Sectorial'!$H127*'FE Sectorial'!M127/1000/1000</f>
        <v>0.82522058823529421</v>
      </c>
      <c r="M128" s="17">
        <f>'Datos Actividad'!$W124*'FE Sectorial'!$H127*'FE Sectorial'!N127/1000/1000</f>
        <v>0.27507352941176472</v>
      </c>
      <c r="N128" s="17">
        <f>'Datos Actividad'!$W124*'FE Sectorial'!$H127*'FE Sectorial'!O127/1000/1000</f>
        <v>1.9958823529411767</v>
      </c>
      <c r="O128" s="87">
        <f>IF(D128&lt;400,H128+I128*'Factores generales'!$M$41+J128*'Factores generales'!$N$41,I128*'Factores generales'!$M$41+J128*'Factores generales'!$N$41)</f>
        <v>4049.5224705882351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Actividad'!$W125*'FE Sectorial'!$H128*'FE Sectorial'!I128*'FE Sectorial'!P128/1000</f>
        <v>16604.292798720002</v>
      </c>
      <c r="I129" s="17">
        <f>'Datos Actividad'!$W125*'FE Sectorial'!$H128*'FE Sectorial'!J128/1000/1000</f>
        <v>0.28971755999999999</v>
      </c>
      <c r="J129" s="17">
        <f>'Datos Actividad'!$W125*'FE Sectorial'!$H128*'FE Sectorial'!K128/1000/1000</f>
        <v>2.8971756000000001E-2</v>
      </c>
      <c r="K129" s="17">
        <f>'Datos Actividad'!$W125*'FE Sectorial'!$H128*'FE Sectorial'!L128/1000/1000</f>
        <v>43.457633999999999</v>
      </c>
      <c r="L129" s="17">
        <f>'Datos Actividad'!$W125*'FE Sectorial'!$H128*'FE Sectorial'!M128/1000/1000</f>
        <v>5.7943512000000004</v>
      </c>
      <c r="M129" s="17">
        <f>'Datos Actividad'!$W125*'FE Sectorial'!$H128*'FE Sectorial'!N128/1000/1000</f>
        <v>1.4485878000000001</v>
      </c>
      <c r="N129" s="17">
        <f>'Datos Actividad'!$W125*'FE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16619.35811184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25175234.541116193</v>
      </c>
      <c r="I131" s="129">
        <f t="shared" si="36"/>
        <v>2674.3914113873516</v>
      </c>
      <c r="J131" s="129">
        <f t="shared" si="36"/>
        <v>198.66396704268249</v>
      </c>
      <c r="K131" s="129">
        <f t="shared" si="36"/>
        <v>167138.48445137974</v>
      </c>
      <c r="L131" s="129">
        <f t="shared" si="36"/>
        <v>251124.35646567907</v>
      </c>
      <c r="M131" s="129">
        <f t="shared" si="36"/>
        <v>32228.038521694216</v>
      </c>
      <c r="N131" s="129">
        <f t="shared" si="36"/>
        <v>8340.8283043349002</v>
      </c>
      <c r="O131" s="129">
        <f t="shared" si="36"/>
        <v>25292982.590538561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2927527.4487068933</v>
      </c>
      <c r="I132" s="134">
        <f>SUM(I133:I137)</f>
        <v>62.854567861485897</v>
      </c>
      <c r="J132" s="134">
        <f t="shared" ref="J132:O132" si="37">SUM(J133:J137)</f>
        <v>8.1632121096780033</v>
      </c>
      <c r="K132" s="134">
        <f t="shared" si="37"/>
        <v>7237.4706351052391</v>
      </c>
      <c r="L132" s="134">
        <f t="shared" si="37"/>
        <v>2329.0344195448829</v>
      </c>
      <c r="M132" s="134">
        <f t="shared" si="37"/>
        <v>251.68099518978244</v>
      </c>
      <c r="N132" s="134">
        <f t="shared" si="37"/>
        <v>293.12265511684132</v>
      </c>
      <c r="O132" s="134">
        <f t="shared" si="37"/>
        <v>2931377.9903859845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Actividad'!$W129*'FE Sectorial'!$H132*'FE Sectorial'!I132*'FE Sectorial'!P132/1000</f>
        <v>0</v>
      </c>
      <c r="I133" s="17">
        <f>'Datos Actividad'!$W129*'FE Sectorial'!$H132*'FE Sectorial'!J132/1000/1000</f>
        <v>0</v>
      </c>
      <c r="J133" s="17">
        <f>'Datos Actividad'!$W129*'FE Sectorial'!$H132*'FE Sectorial'!K132/1000/1000</f>
        <v>0</v>
      </c>
      <c r="K133" s="17">
        <f>'Datos Actividad'!$W129*'FE Sectorial'!$H132*'FE Sectorial'!L132/1000/1000</f>
        <v>0</v>
      </c>
      <c r="L133" s="17">
        <f>'Datos Actividad'!$W129*'FE Sectorial'!$H132*'FE Sectorial'!M132/1000/1000</f>
        <v>0</v>
      </c>
      <c r="M133" s="17">
        <f>'Datos Actividad'!$W129*'FE Sectorial'!$H132*'FE Sectorial'!N132/1000/1000</f>
        <v>0</v>
      </c>
      <c r="N133" s="17">
        <f>'Datos Actividad'!$W129*'FE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Actividad'!$W130*'FE Sectorial'!$H133*'FE Sectorial'!I133*'FE Sectorial'!P133/1000</f>
        <v>2403645.5293678078</v>
      </c>
      <c r="I134" s="17">
        <f>'Datos Actividad'!$W130*'FE Sectorial'!$H133*'FE Sectorial'!J133/1000/1000</f>
        <v>43.061036544000004</v>
      </c>
      <c r="J134" s="17">
        <f>'Datos Actividad'!$W130*'FE Sectorial'!$H133*'FE Sectorial'!K133/1000/1000</f>
        <v>4.3061036544000011</v>
      </c>
      <c r="K134" s="17">
        <f>'Datos Actividad'!$W130*'FE Sectorial'!$H133*'FE Sectorial'!L133/1000/1000</f>
        <v>6459.1554816000007</v>
      </c>
      <c r="L134" s="17">
        <f>'Datos Actividad'!$W130*'FE Sectorial'!$H133*'FE Sectorial'!M133/1000/1000</f>
        <v>2153.0518271999999</v>
      </c>
      <c r="M134" s="17">
        <f>'Datos Actividad'!$W130*'FE Sectorial'!$H133*'FE Sectorial'!N133/1000/1000</f>
        <v>215.30518272</v>
      </c>
      <c r="N134" s="17">
        <f>'Datos Actividad'!$W130*'FE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2405884.7032680959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Actividad'!$W131*'FE Sectorial'!$H134*'FE Sectorial'!I134*'FE Sectorial'!P134/1000</f>
        <v>63467.134816438353</v>
      </c>
      <c r="I135" s="17">
        <f>'Datos Actividad'!$W131*'FE Sectorial'!$H134*'FE Sectorial'!J134/1000/1000</f>
        <v>1.0159780821917808</v>
      </c>
      <c r="J135" s="17">
        <f>'Datos Actividad'!$W131*'FE Sectorial'!$H134*'FE Sectorial'!K134/1000/1000</f>
        <v>0.10159780821917809</v>
      </c>
      <c r="K135" s="17">
        <f>'Datos Actividad'!$W131*'FE Sectorial'!$H134*'FE Sectorial'!L134/1000/1000</f>
        <v>152.39671232876711</v>
      </c>
      <c r="L135" s="17">
        <f>'Datos Actividad'!$W131*'FE Sectorial'!$H134*'FE Sectorial'!M134/1000/1000</f>
        <v>50.798904109589046</v>
      </c>
      <c r="M135" s="17">
        <f>'Datos Actividad'!$W131*'FE Sectorial'!$H134*'FE Sectorial'!N134/1000/1000</f>
        <v>5.079890410958904</v>
      </c>
      <c r="N135" s="17">
        <f>'Datos Actividad'!$W131*'FE Sectorial'!$H134*'FE Sectorial'!O134/1000/1000</f>
        <v>4.2958904109589051</v>
      </c>
      <c r="O135" s="87">
        <f>IF(D135&lt;400,H135+I135*'Factores generales'!$M$41+J135*'Factores generales'!$N$41,I135*'Factores generales'!$M$41+J135*'Factores generales'!$N$41)</f>
        <v>63519.965676712323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Actividad'!$W132*'FE Sectorial'!$H135*'FE Sectorial'!I135*'FE Sectorial'!P135/1000</f>
        <v>431160.51024264708</v>
      </c>
      <c r="I136" s="17">
        <f>'Datos Actividad'!$W132*'FE Sectorial'!$H135*'FE Sectorial'!J135/1000/1000</f>
        <v>17.63221323529412</v>
      </c>
      <c r="J136" s="17">
        <f>'Datos Actividad'!$W132*'FE Sectorial'!$H135*'FE Sectorial'!K135/1000/1000</f>
        <v>3.5264426470588237</v>
      </c>
      <c r="K136" s="17">
        <f>'Datos Actividad'!$W132*'FE Sectorial'!$H135*'FE Sectorial'!L135/1000/1000</f>
        <v>587.74044117647065</v>
      </c>
      <c r="L136" s="17">
        <f>'Datos Actividad'!$W132*'FE Sectorial'!$H135*'FE Sectorial'!M135/1000/1000</f>
        <v>117.54808823529413</v>
      </c>
      <c r="M136" s="17">
        <f>'Datos Actividad'!$W132*'FE Sectorial'!$H135*'FE Sectorial'!N135/1000/1000</f>
        <v>29.387022058823533</v>
      </c>
      <c r="N136" s="17">
        <f>'Datos Actividad'!$W132*'FE Sectorial'!$H135*'FE Sectorial'!O135/1000/1000</f>
        <v>213.22676470588237</v>
      </c>
      <c r="O136" s="87">
        <f>IF(D136&lt;400,H136+I136*'Factores generales'!$M$41+J136*'Factores generales'!$N$41,I136*'Factores generales'!$M$41+J136*'Factores generales'!$N$41)</f>
        <v>432623.9839411765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Actividad'!$W133*'FE Sectorial'!$H136*'FE Sectorial'!I136*'FE Sectorial'!P136/1000</f>
        <v>29254.274280000009</v>
      </c>
      <c r="I137" s="17">
        <f>'Datos Actividad'!$W133*'FE Sectorial'!$H136*'FE Sectorial'!J136/1000/1000</f>
        <v>1.1453400000000002</v>
      </c>
      <c r="J137" s="17">
        <f>'Datos Actividad'!$W133*'FE Sectorial'!$H136*'FE Sectorial'!K136/1000/1000</f>
        <v>0.22906800000000005</v>
      </c>
      <c r="K137" s="17">
        <f>'Datos Actividad'!$W133*'FE Sectorial'!$H136*'FE Sectorial'!L136/1000/1000</f>
        <v>38.178000000000004</v>
      </c>
      <c r="L137" s="17">
        <f>'Datos Actividad'!$W133*'FE Sectorial'!$H136*'FE Sectorial'!M136/1000/1000</f>
        <v>7.6356000000000011</v>
      </c>
      <c r="M137" s="17">
        <f>'Datos Actividad'!$W133*'FE Sectorial'!$H136*'FE Sectorial'!N136/1000/1000</f>
        <v>1.9089000000000003</v>
      </c>
      <c r="N137" s="17">
        <f>'Datos Actividad'!$W133*'FE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14950937.64605636</v>
      </c>
      <c r="I138" s="134">
        <f>SUM(I139:I144)</f>
        <v>2313.1370788199833</v>
      </c>
      <c r="J138" s="134">
        <f t="shared" ref="J138:O138" si="38">SUM(J139:J144)</f>
        <v>130.82080199182803</v>
      </c>
      <c r="K138" s="134">
        <f t="shared" si="38"/>
        <v>40541.107933921558</v>
      </c>
      <c r="L138" s="134">
        <f t="shared" si="38"/>
        <v>149328.73381084006</v>
      </c>
      <c r="M138" s="134">
        <f t="shared" si="38"/>
        <v>12083.039879445612</v>
      </c>
      <c r="N138" s="134">
        <f t="shared" si="38"/>
        <v>4439.1503551004125</v>
      </c>
      <c r="O138" s="134">
        <f t="shared" si="38"/>
        <v>15040067.973329047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Actividad'!$W135*'FE Sectorial'!$H138*'FE Sectorial'!I138*'FE Sectorial'!P138/1000</f>
        <v>1361977.3440000003</v>
      </c>
      <c r="I139" s="17">
        <f>'Datos Actividad'!$W135*'FE Sectorial'!$H138*'FE Sectorial'!J138/1000/1000</f>
        <v>419.32800000000003</v>
      </c>
      <c r="J139" s="17">
        <f>'Datos Actividad'!$W135*'FE Sectorial'!$H138*'FE Sectorial'!K138/1000/1000</f>
        <v>55.91040000000001</v>
      </c>
      <c r="K139" s="17">
        <f>'Datos Actividad'!$W135*'FE Sectorial'!$H138*'FE Sectorial'!L138/1000/1000</f>
        <v>1397.7600000000002</v>
      </c>
      <c r="L139" s="17">
        <f>'Datos Actividad'!$W135*'FE Sectorial'!$H138*'FE Sectorial'!M138/1000/1000</f>
        <v>69888.000000000015</v>
      </c>
      <c r="M139" s="17">
        <f>'Datos Actividad'!$W135*'FE Sectorial'!$H138*'FE Sectorial'!N138/1000/1000</f>
        <v>8386.5600000000013</v>
      </c>
      <c r="N139" s="17">
        <f>'Datos Actividad'!$W135*'FE Sectorial'!$H138*'FE Sectorial'!O138/1000/1000</f>
        <v>3584.0000000000005</v>
      </c>
      <c r="O139" s="87">
        <f>IF(D139&lt;400,H139+I139*'Factores generales'!$M$41+J139*'Factores generales'!$N$41,I139*'Factores generales'!$M$41+J139*'Factores generales'!$N$41)</f>
        <v>26138.112000000001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Actividad'!$W136*'FE Sectorial'!$H139*'FE Sectorial'!I139*'FE Sectorial'!P139/1000</f>
        <v>237753.17202120341</v>
      </c>
      <c r="I140" s="17">
        <f>'Datos Actividad'!$W136*'FE Sectorial'!$H139*'FE Sectorial'!J139/1000/1000</f>
        <v>81.983852421104629</v>
      </c>
      <c r="J140" s="17">
        <f>'Datos Actividad'!$W136*'FE Sectorial'!$H139*'FE Sectorial'!K139/1000/1000</f>
        <v>10.931180322813951</v>
      </c>
      <c r="K140" s="17">
        <f>'Datos Actividad'!$W136*'FE Sectorial'!$H139*'FE Sectorial'!L139/1000/1000</f>
        <v>273.27950807034875</v>
      </c>
      <c r="L140" s="17">
        <f>'Datos Actividad'!$W136*'FE Sectorial'!$H139*'FE Sectorial'!M139/1000/1000</f>
        <v>13663.975403517437</v>
      </c>
      <c r="M140" s="17">
        <f>'Datos Actividad'!$W136*'FE Sectorial'!$H139*'FE Sectorial'!N139/1000/1000</f>
        <v>1639.6770484220926</v>
      </c>
      <c r="N140" s="17">
        <f>'Datos Actividad'!$W136*'FE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5110.3268009155217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Actividad'!$W137*'FE Sectorial'!$H140*'FE Sectorial'!I140*'FE Sectorial'!P140/1000</f>
        <v>11450738.116886906</v>
      </c>
      <c r="I141" s="17">
        <f>'Datos Actividad'!$W137*'FE Sectorial'!$H140*'FE Sectorial'!J140/1000/1000</f>
        <v>205.13867227200004</v>
      </c>
      <c r="J141" s="17">
        <f>'Datos Actividad'!$W137*'FE Sectorial'!$H140*'FE Sectorial'!K140/1000/1000</f>
        <v>20.513867227199999</v>
      </c>
      <c r="K141" s="17">
        <f>'Datos Actividad'!$W137*'FE Sectorial'!$H140*'FE Sectorial'!L140/1000/1000</f>
        <v>30770.800840800002</v>
      </c>
      <c r="L141" s="17">
        <f>'Datos Actividad'!$W137*'FE Sectorial'!$H140*'FE Sectorial'!M140/1000/1000</f>
        <v>10256.9336136</v>
      </c>
      <c r="M141" s="17">
        <f>'Datos Actividad'!$W137*'FE Sectorial'!$H140*'FE Sectorial'!N140/1000/1000</f>
        <v>1025.6933613600002</v>
      </c>
      <c r="N141" s="17">
        <f>'Datos Actividad'!$W137*'FE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11461405.32784505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Actividad'!$W138*'FE Sectorial'!$H141*'FE Sectorial'!I141*'FE Sectorial'!P141/1000</f>
        <v>2421271.1932471232</v>
      </c>
      <c r="I142" s="17">
        <f>'Datos Actividad'!$W138*'FE Sectorial'!$H141*'FE Sectorial'!J141/1000/1000</f>
        <v>38.759563835616433</v>
      </c>
      <c r="J142" s="17">
        <f>'Datos Actividad'!$W138*'FE Sectorial'!$H141*'FE Sectorial'!K141/1000/1000</f>
        <v>3.8759563835616433</v>
      </c>
      <c r="K142" s="17">
        <f>'Datos Actividad'!$W138*'FE Sectorial'!$H141*'FE Sectorial'!L141/1000/1000</f>
        <v>5813.9345753424641</v>
      </c>
      <c r="L142" s="17">
        <f>'Datos Actividad'!$W138*'FE Sectorial'!$H141*'FE Sectorial'!M141/1000/1000</f>
        <v>1937.9781917808216</v>
      </c>
      <c r="M142" s="17">
        <f>'Datos Actividad'!$W138*'FE Sectorial'!$H141*'FE Sectorial'!N141/1000/1000</f>
        <v>193.79781917808216</v>
      </c>
      <c r="N142" s="17">
        <f>'Datos Actividad'!$W138*'FE Sectorial'!$H141*'FE Sectorial'!O141/1000/1000</f>
        <v>163.88821917808218</v>
      </c>
      <c r="O142" s="87">
        <f>IF(D142&lt;400,H142+I142*'Factores generales'!$M$41+J142*'Factores generales'!$N$41,I142*'Factores generales'!$M$41+J142*'Factores generales'!$N$41)</f>
        <v>2423286.6905665756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Actividad'!$W139*'FE Sectorial'!$H142*'FE Sectorial'!I142*'FE Sectorial'!P142/1000</f>
        <v>1078928.3359223302</v>
      </c>
      <c r="I143" s="17">
        <f>'Datos Actividad'!$W139*'FE Sectorial'!$H142*'FE Sectorial'!J142/1000/1000</f>
        <v>45.726990291262133</v>
      </c>
      <c r="J143" s="17">
        <f>'Datos Actividad'!$W139*'FE Sectorial'!$H142*'FE Sectorial'!K142/1000/1000</f>
        <v>9.145398058252427</v>
      </c>
      <c r="K143" s="17">
        <f>'Datos Actividad'!$W139*'FE Sectorial'!$H142*'FE Sectorial'!L142/1000/1000</f>
        <v>1524.2330097087379</v>
      </c>
      <c r="L143" s="17">
        <f>'Datos Actividad'!$W139*'FE Sectorial'!$H142*'FE Sectorial'!M142/1000/1000</f>
        <v>304.84660194174756</v>
      </c>
      <c r="M143" s="17">
        <f>'Datos Actividad'!$W139*'FE Sectorial'!$H142*'FE Sectorial'!N142/1000/1000</f>
        <v>76.211650485436891</v>
      </c>
      <c r="N143" s="17">
        <f>'Datos Actividad'!$W139*'FE Sectorial'!$H142*'FE Sectorial'!O142/1000/1000</f>
        <v>691.26213592233023</v>
      </c>
      <c r="O143" s="87">
        <f>IF(D143&lt;400,H143+I143*'Factores generales'!$M$41+J143*'Factores generales'!$N$41,I143*'Factores generales'!$M$41+J143*'Factores generales'!$N$41)</f>
        <v>1082723.6761165049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Actividad'!$W140*'FE Sectorial'!$H143*'FE Sectorial'!I143*'FE Sectorial'!P143/1000</f>
        <v>741615.84</v>
      </c>
      <c r="I144" s="17">
        <f>'Datos Actividad'!$W140*'FE Sectorial'!$H143*'FE Sectorial'!J143/1000/1000</f>
        <v>1522.2</v>
      </c>
      <c r="J144" s="17">
        <f>'Datos Actividad'!$W140*'FE Sectorial'!$H143*'FE Sectorial'!K143/1000/1000</f>
        <v>30.443999999999999</v>
      </c>
      <c r="K144" s="17">
        <f>'Datos Actividad'!$W140*'FE Sectorial'!$H143*'FE Sectorial'!L143/1000/1000</f>
        <v>761.1</v>
      </c>
      <c r="L144" s="17">
        <f>'Datos Actividad'!$W140*'FE Sectorial'!$H143*'FE Sectorial'!M143/1000/1000</f>
        <v>53277</v>
      </c>
      <c r="M144" s="17">
        <f>'Datos Actividad'!$W140*'FE Sectorial'!$H143*'FE Sectorial'!N143/1000/1000</f>
        <v>761.1</v>
      </c>
      <c r="N144" s="17">
        <f>'Datos Actividad'!$W140*'FE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41403.839999999997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7296769.446352941</v>
      </c>
      <c r="I145" s="134">
        <f t="shared" ref="I145:O145" si="39">SUM(I146:I149)</f>
        <v>298.39976470588238</v>
      </c>
      <c r="J145" s="134">
        <f t="shared" si="39"/>
        <v>59.679952941176467</v>
      </c>
      <c r="K145" s="134">
        <f t="shared" si="39"/>
        <v>119359.90588235293</v>
      </c>
      <c r="L145" s="134">
        <f t="shared" si="39"/>
        <v>99466.588235294112</v>
      </c>
      <c r="M145" s="134">
        <f t="shared" si="39"/>
        <v>19893.317647058822</v>
      </c>
      <c r="N145" s="134">
        <f t="shared" si="39"/>
        <v>3608.555294117647</v>
      </c>
      <c r="O145" s="134">
        <f t="shared" si="39"/>
        <v>7321536.6268235296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Actividad'!$W142*'FE Sectorial'!$H145*'FE Sectorial'!I145*'FE Sectorial'!P145/1000</f>
        <v>0</v>
      </c>
      <c r="I146" s="17">
        <f>'Datos Actividad'!$W142*'FE Sectorial'!$H145*'FE Sectorial'!J145/1000/1000</f>
        <v>0</v>
      </c>
      <c r="J146" s="17">
        <f>'Datos Actividad'!$W142*'FE Sectorial'!$H145*'FE Sectorial'!K145/1000/1000</f>
        <v>0</v>
      </c>
      <c r="K146" s="17">
        <f>'Datos Actividad'!$W142*'FE Sectorial'!$H145*'FE Sectorial'!L145/1000/1000</f>
        <v>0</v>
      </c>
      <c r="L146" s="17">
        <f>'Datos Actividad'!$W142*'FE Sectorial'!$H145*'FE Sectorial'!M145/1000/1000</f>
        <v>0</v>
      </c>
      <c r="M146" s="17">
        <f>'Datos Actividad'!$W142*'FE Sectorial'!$H145*'FE Sectorial'!N145/1000/1000</f>
        <v>0</v>
      </c>
      <c r="N146" s="17">
        <f>'Datos Actividad'!$W142*'FE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Actividad'!$W143*'FE Sectorial'!$H146*'FE Sectorial'!I146*'FE Sectorial'!P146/1000</f>
        <v>0</v>
      </c>
      <c r="I147" s="17">
        <f>'Datos Actividad'!$W143*'FE Sectorial'!$H146*'FE Sectorial'!J146/1000/1000</f>
        <v>0</v>
      </c>
      <c r="J147" s="17">
        <f>'Datos Actividad'!$W143*'FE Sectorial'!$H146*'FE Sectorial'!K146/1000/1000</f>
        <v>0</v>
      </c>
      <c r="K147" s="17">
        <f>'Datos Actividad'!$W143*'FE Sectorial'!$H146*'FE Sectorial'!L146/1000/1000</f>
        <v>0</v>
      </c>
      <c r="L147" s="17">
        <f>'Datos Actividad'!$W143*'FE Sectorial'!$H146*'FE Sectorial'!M146/1000/1000</f>
        <v>0</v>
      </c>
      <c r="M147" s="17">
        <f>'Datos Actividad'!$W143*'FE Sectorial'!$H146*'FE Sectorial'!N146/1000/1000</f>
        <v>0</v>
      </c>
      <c r="N147" s="17">
        <f>'Datos Actividad'!$W143*'FE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Actividad'!$W144*'FE Sectorial'!$H147*'FE Sectorial'!I147*'FE Sectorial'!P147/1000</f>
        <v>7296769.446352941</v>
      </c>
      <c r="I148" s="17">
        <f>'Datos Actividad'!$W144*'FE Sectorial'!$H147*'FE Sectorial'!J147/1000/1000</f>
        <v>298.39976470588238</v>
      </c>
      <c r="J148" s="17">
        <f>'Datos Actividad'!$W144*'FE Sectorial'!$H147*'FE Sectorial'!K147/1000/1000</f>
        <v>59.679952941176467</v>
      </c>
      <c r="K148" s="17">
        <f>'Datos Actividad'!$W144*'FE Sectorial'!$H147*'FE Sectorial'!L147/1000/1000</f>
        <v>119359.90588235293</v>
      </c>
      <c r="L148" s="17">
        <f>'Datos Actividad'!$W144*'FE Sectorial'!$H147*'FE Sectorial'!M147/1000/1000</f>
        <v>99466.588235294112</v>
      </c>
      <c r="M148" s="17">
        <f>'Datos Actividad'!$W144*'FE Sectorial'!$H147*'FE Sectorial'!N147/1000/1000</f>
        <v>19893.317647058822</v>
      </c>
      <c r="N148" s="17">
        <f>'Datos Actividad'!$W144*'FE Sectorial'!$H147*'FE Sectorial'!O147/1000/1000</f>
        <v>3608.555294117647</v>
      </c>
      <c r="O148" s="87">
        <f>IF(D148&lt;400,H148+I148*'Factores generales'!$M$41+J148*'Factores generales'!$N$41,I148*'Factores generales'!$M$41+J148*'Factores generales'!$N$41)</f>
        <v>7321536.6268235296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Actividad'!$W145*'FE Sectorial'!$H148*'FE Sectorial'!I148*'FE Sectorial'!P148/1000</f>
        <v>0</v>
      </c>
      <c r="I149" s="17">
        <f>'Datos Actividad'!$W145*'FE Sectorial'!$H148*'FE Sectorial'!J148/1000/1000</f>
        <v>0</v>
      </c>
      <c r="J149" s="17">
        <f>'Datos Actividad'!$W145*'FE Sectorial'!$H148*'FE Sectorial'!K148/1000/1000</f>
        <v>0</v>
      </c>
      <c r="K149" s="17">
        <f>'Datos Actividad'!$W145*'FE Sectorial'!$H148*'FE Sectorial'!L148/1000/1000</f>
        <v>0</v>
      </c>
      <c r="L149" s="17">
        <f>'Datos Actividad'!$W145*'FE Sectorial'!$H148*'FE Sectorial'!M148/1000/1000</f>
        <v>0</v>
      </c>
      <c r="M149" s="17">
        <f>'Datos Actividad'!$W145*'FE Sectorial'!$H148*'FE Sectorial'!N148/1000/1000</f>
        <v>0</v>
      </c>
      <c r="N149" s="17">
        <f>'Datos Actividad'!$W145*'FE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Actividad'!$W147*'FE Sectorial'!$H150*'FE Sectorial'!I150*'FE Sectorial'!P150/1000</f>
        <v>0</v>
      </c>
      <c r="I151" s="134">
        <f>'Datos Actividad'!$W147*'FE Sectorial'!$H150*'FE Sectorial'!J150/1000/1000</f>
        <v>0</v>
      </c>
      <c r="J151" s="134">
        <f>'Datos Actividad'!$W147*'FE Sectorial'!$H150*'FE Sectorial'!K150/1000/1000</f>
        <v>0</v>
      </c>
      <c r="K151" s="134">
        <f>'Datos Actividad'!$W147*'FE Sectorial'!$H150*'FE Sectorial'!L150/1000/1000</f>
        <v>0</v>
      </c>
      <c r="L151" s="134">
        <f>'Datos Actividad'!$W147*'FE Sectorial'!$H150*'FE Sectorial'!M150/1000/1000</f>
        <v>0</v>
      </c>
      <c r="M151" s="134">
        <f>'Datos Actividad'!$W147*'FE Sectorial'!$H150*'FE Sectorial'!N150/1000/1000</f>
        <v>0</v>
      </c>
      <c r="N151" s="134">
        <f>'Datos Actividad'!$W147*'FE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Actividad'!$W148*'FE Sectorial'!$H151*'FE Sectorial'!I151*'FE Sectorial'!P151/1000</f>
        <v>0</v>
      </c>
      <c r="I152" s="134">
        <f>'Datos Actividad'!$W148*'FE Sectorial'!$H151*'FE Sectorial'!J151/1000/1000</f>
        <v>0</v>
      </c>
      <c r="J152" s="134">
        <f>'Datos Actividad'!$W148*'FE Sectorial'!$H151*'FE Sectorial'!K151/1000/1000</f>
        <v>0</v>
      </c>
      <c r="K152" s="134">
        <f>'Datos Actividad'!$W148*'FE Sectorial'!$H151*'FE Sectorial'!L151/1000/1000</f>
        <v>0</v>
      </c>
      <c r="L152" s="134">
        <f>'Datos Actividad'!$W148*'FE Sectorial'!$H151*'FE Sectorial'!M151/1000/1000</f>
        <v>0</v>
      </c>
      <c r="M152" s="134">
        <f>'Datos Actividad'!$W148*'FE Sectorial'!$H151*'FE Sectorial'!N151/1000/1000</f>
        <v>0</v>
      </c>
      <c r="N152" s="134">
        <f>'Datos Actividad'!$W148*'FE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3744970.9134942265</v>
      </c>
      <c r="I153" s="124">
        <f t="shared" ref="I153:N153" si="41">I154+I168</f>
        <v>238230.78789858453</v>
      </c>
      <c r="J153" s="124">
        <f t="shared" si="41"/>
        <v>31.084934087363369</v>
      </c>
      <c r="K153" s="124">
        <f t="shared" si="41"/>
        <v>1359.6968746718198</v>
      </c>
      <c r="L153" s="124">
        <f t="shared" si="41"/>
        <v>2175.5069600000002</v>
      </c>
      <c r="M153" s="124">
        <f t="shared" si="41"/>
        <v>103685.33262227724</v>
      </c>
      <c r="N153" s="124">
        <f t="shared" si="41"/>
        <v>21755.069600000003</v>
      </c>
      <c r="O153" s="124">
        <f>IF(D153&lt;400,H153+I153*'Factores generales'!$M$41+J153*'Factores generales'!$N$41,I153*'Factores generales'!$M$41+J153*'Factores generales'!$N$41)</f>
        <v>8757453.788931584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3744970.9134942265</v>
      </c>
      <c r="I168" s="129">
        <f t="shared" ref="I168:O168" si="44">I169+I188+I204</f>
        <v>235519.19651822548</v>
      </c>
      <c r="J168" s="129">
        <f t="shared" si="44"/>
        <v>31.084934087363369</v>
      </c>
      <c r="K168" s="129">
        <f t="shared" si="44"/>
        <v>1359.6968746718198</v>
      </c>
      <c r="L168" s="129">
        <f t="shared" si="44"/>
        <v>2175.5069600000002</v>
      </c>
      <c r="M168" s="129">
        <f t="shared" si="44"/>
        <v>103685.33262227724</v>
      </c>
      <c r="N168" s="129">
        <f t="shared" si="44"/>
        <v>21755.069600000003</v>
      </c>
      <c r="O168" s="129">
        <f t="shared" si="44"/>
        <v>8700510.3699440435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38069.323473873796</v>
      </c>
      <c r="I169" s="134">
        <f t="shared" ref="I169:O169" si="45">SUM(I170:I187)</f>
        <v>13297.554765727406</v>
      </c>
      <c r="J169" s="134">
        <f t="shared" si="45"/>
        <v>0.26665848945795817</v>
      </c>
      <c r="K169" s="134">
        <f t="shared" si="45"/>
        <v>1359.6968746718198</v>
      </c>
      <c r="L169" s="134">
        <f t="shared" si="45"/>
        <v>2175.5069600000002</v>
      </c>
      <c r="M169" s="134">
        <f t="shared" si="45"/>
        <v>67215.582903443443</v>
      </c>
      <c r="N169" s="134">
        <f t="shared" si="45"/>
        <v>21755.069600000003</v>
      </c>
      <c r="O169" s="134">
        <f t="shared" si="45"/>
        <v>317400.63768588123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Actividad'!$W167*'FE Sectorial'!I170*1000</f>
        <v>1635.1479821505525</v>
      </c>
      <c r="I171" s="92">
        <f>'Datos Actividad'!$W167*'FE Sectorial'!J170*1000</f>
        <v>34.72126684866582</v>
      </c>
      <c r="J171" s="92">
        <f>'Datos Actividad'!$W167*'FE Sectorial'!K170*1000</f>
        <v>1.2033819011436062E-2</v>
      </c>
      <c r="K171" s="92">
        <f>'Datos Actividad'!$W167*'FE Sectorial'!L170*1000</f>
        <v>0</v>
      </c>
      <c r="L171" s="92">
        <f>'Datos Actividad'!$W167*'FE Sectorial'!M170*1000</f>
        <v>0</v>
      </c>
      <c r="M171" s="92">
        <f>'Datos Actividad'!$W167*'FE Sectorial'!N170*1000</f>
        <v>5.3501811647654751</v>
      </c>
      <c r="N171" s="92">
        <f>'Datos Actividad'!$W167*'FE Sectorial'!O170*1000</f>
        <v>0</v>
      </c>
      <c r="O171" s="87">
        <f>IF(D171&lt;400,H171+I171*'Factores generales'!$M$41+J171*'Factores generales'!$N$41,I171*'Factores generales'!$M$41+J171*'Factores generales'!$N$41)</f>
        <v>2368.0250698660798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Actividad'!$W168*'FE Sectorial'!I171*1000</f>
        <v>3902.0576846774547</v>
      </c>
      <c r="I172" s="92">
        <f>'Datos Actividad'!$W168*'FE Sectorial'!J171*1000</f>
        <v>82.857568616134344</v>
      </c>
      <c r="J172" s="92">
        <f>'Datos Actividad'!$W168*'FE Sectorial'!K171*1000</f>
        <v>2.871706809547242E-2</v>
      </c>
      <c r="K172" s="92">
        <f>'Datos Actividad'!$W168*'FE Sectorial'!L171*1000</f>
        <v>0</v>
      </c>
      <c r="L172" s="92">
        <f>'Datos Actividad'!$W168*'FE Sectorial'!M171*1000</f>
        <v>0</v>
      </c>
      <c r="M172" s="92">
        <f>'Datos Actividad'!$W168*'FE Sectorial'!N171*1000</f>
        <v>12.767477779553975</v>
      </c>
      <c r="N172" s="92">
        <f>'Datos Actividad'!$W168*'FE Sectorial'!O171*1000</f>
        <v>0</v>
      </c>
      <c r="O172" s="87">
        <f>IF(D172&lt;400,H172+I172*'Factores generales'!$M$41+J172*'Factores generales'!$N$41,I172*'Factores generales'!$M$41+J172*'Factores generales'!$N$41)</f>
        <v>5650.9689167258721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Actividad'!$W169*'FE Sectorial'!I172*1000</f>
        <v>30696.187119462647</v>
      </c>
      <c r="I173" s="92">
        <f>'Datos Actividad'!$W169*'FE Sectorial'!J172*1000</f>
        <v>651.81287311359017</v>
      </c>
      <c r="J173" s="92">
        <f>'Datos Actividad'!$W169*'FE Sectorial'!K172*1000</f>
        <v>0.2259076023510497</v>
      </c>
      <c r="K173" s="92">
        <f>'Datos Actividad'!$W169*'FE Sectorial'!L172*1000</f>
        <v>0</v>
      </c>
      <c r="L173" s="92">
        <f>'Datos Actividad'!$W169*'FE Sectorial'!M172*1000</f>
        <v>0</v>
      </c>
      <c r="M173" s="92">
        <f>'Datos Actividad'!$W169*'FE Sectorial'!N172*1000</f>
        <v>100.4374918658246</v>
      </c>
      <c r="N173" s="92">
        <f>'Datos Actividad'!$W169*'FE Sectorial'!O172*1000</f>
        <v>0</v>
      </c>
      <c r="O173" s="87">
        <f>IF(D173&lt;400,H173+I173*'Factores generales'!$M$41+J173*'Factores generales'!$N$41,I173*'Factores generales'!$M$41+J173*'Factores generales'!$N$41)</f>
        <v>44454.288811576866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Actividad'!$W171*'FE Sectorial'!I174</f>
        <v>842.37559230977411</v>
      </c>
      <c r="I175" s="92">
        <f>'Datos Actividad'!$W171*'FE Sectorial'!J174</f>
        <v>11619.7413</v>
      </c>
      <c r="J175" s="92">
        <f>'Datos Actividad'!$W171*'FE Sectorial'!K174</f>
        <v>0</v>
      </c>
      <c r="K175" s="92">
        <f>'Datos Actividad'!$W171*'FE Sectorial'!L174</f>
        <v>0</v>
      </c>
      <c r="L175" s="92">
        <f>'Datos Actividad'!$W171*'FE Sectorial'!M174</f>
        <v>0</v>
      </c>
      <c r="M175" s="92">
        <f>'Datos Actividad'!$W171*'FE Sectorial'!N174</f>
        <v>14231.218564072036</v>
      </c>
      <c r="N175" s="92">
        <f>'Datos Actividad'!$W171*'FE Sectorial'!O174</f>
        <v>0</v>
      </c>
      <c r="O175" s="87">
        <f>IF(D175&lt;400,H175+I175*'Factores generales'!$M$41+J175*'Factores generales'!$N$41,I175*'Factores generales'!$M$41+J175*'Factores generales'!$N$41)</f>
        <v>244856.94289230977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Actividad'!$W173*'FE Sectorial'!I176</f>
        <v>0</v>
      </c>
      <c r="I177" s="92">
        <f>'Datos Actividad'!$W173*'FE Sectorial'!J176</f>
        <v>427.94718394116632</v>
      </c>
      <c r="J177" s="92">
        <f>'Datos Actividad'!$W173*'FE Sectorial'!K176</f>
        <v>0</v>
      </c>
      <c r="K177" s="92">
        <f>'Datos Actividad'!$W173*'FE Sectorial'!L176</f>
        <v>0</v>
      </c>
      <c r="L177" s="92">
        <f>'Datos Actividad'!$W173*'FE Sectorial'!M176</f>
        <v>0</v>
      </c>
      <c r="M177" s="92">
        <f>'Datos Actividad'!$W173*'FE Sectorial'!N176</f>
        <v>0</v>
      </c>
      <c r="N177" s="92">
        <f>'Datos Actividad'!$W173*'FE Sectorial'!O176</f>
        <v>0</v>
      </c>
      <c r="O177" s="87">
        <f>IF(D177&lt;400,H177+I177*'Factores generales'!$M$41+J177*'Factores generales'!$N$41,I177*'Factores generales'!$M$41+J177*'Factores generales'!$N$41)</f>
        <v>8986.8908627644923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Actividad'!$W174*'FE Sectorial'!I177</f>
        <v>11.460148715879615</v>
      </c>
      <c r="I178" s="92">
        <f>'Datos Actividad'!$W174*'FE Sectorial'!J177</f>
        <v>126.29551646071414</v>
      </c>
      <c r="J178" s="92">
        <f>'Datos Actividad'!$W174*'FE Sectorial'!K177</f>
        <v>0</v>
      </c>
      <c r="K178" s="92">
        <f>'Datos Actividad'!$W174*'FE Sectorial'!L177</f>
        <v>0</v>
      </c>
      <c r="L178" s="92">
        <f>'Datos Actividad'!$W174*'FE Sectorial'!M177</f>
        <v>0</v>
      </c>
      <c r="M178" s="92">
        <f>'Datos Actividad'!$W174*'FE Sectorial'!N177</f>
        <v>1262.9551646071416</v>
      </c>
      <c r="N178" s="92">
        <f>'Datos Actividad'!$W174*'FE Sectorial'!O177</f>
        <v>0</v>
      </c>
      <c r="O178" s="87">
        <f>IF(D178&lt;400,H178+I178*'Factores generales'!$M$41+J178*'Factores generales'!$N$41,I178*'Factores generales'!$M$41+J178*'Factores generales'!$N$41)</f>
        <v>2663.6659943908767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Actividad'!$W177*'FE Sectorial'!I180</f>
        <v>0</v>
      </c>
      <c r="I181" s="92">
        <f>'Datos Actividad'!$W177*'FE Sectorial'!J180</f>
        <v>280.76895940509849</v>
      </c>
      <c r="J181" s="92">
        <f>'Datos Actividad'!$W177*'FE Sectorial'!K180</f>
        <v>0</v>
      </c>
      <c r="K181" s="92">
        <f>'Datos Actividad'!$W177*'FE Sectorial'!L180</f>
        <v>1359.6918500000002</v>
      </c>
      <c r="L181" s="92">
        <f>'Datos Actividad'!$W177*'FE Sectorial'!M180</f>
        <v>2175.5069600000002</v>
      </c>
      <c r="M181" s="92">
        <f>'Datos Actividad'!$W177*'FE Sectorial'!N180</f>
        <v>35351.988099999995</v>
      </c>
      <c r="N181" s="92">
        <f>'Datos Actividad'!$W177*'FE Sectorial'!O180</f>
        <v>21755.069600000003</v>
      </c>
      <c r="O181" s="87">
        <f>IF(D181&lt;400,H181+I181*'Factores generales'!$M$41+J181*'Factores generales'!$N$41,I181*'Factores generales'!$M$41+J181*'Factores generales'!$N$41)</f>
        <v>5896.1481475070686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Actividad'!$W179*'FE Sectorial'!I182</f>
        <v>0</v>
      </c>
      <c r="I183" s="92">
        <f>'Datos Actividad'!$W179*'FE Sectorial'!J182</f>
        <v>73.41009734203503</v>
      </c>
      <c r="J183" s="92">
        <f>'Datos Actividad'!$W179*'FE Sectorial'!K182</f>
        <v>0</v>
      </c>
      <c r="K183" s="92">
        <f>'Datos Actividad'!$W179*'FE Sectorial'!L182</f>
        <v>0</v>
      </c>
      <c r="L183" s="92">
        <f>'Datos Actividad'!$W179*'FE Sectorial'!M182</f>
        <v>0</v>
      </c>
      <c r="M183" s="92">
        <f>'Datos Actividad'!$W179*'FE Sectorial'!N182</f>
        <v>0</v>
      </c>
      <c r="N183" s="92">
        <f>'Datos Actividad'!$W179*'FE Sectorial'!O182</f>
        <v>0</v>
      </c>
      <c r="O183" s="87">
        <f>IF(D183&lt;400,H183+I183*'Factores generales'!$M$41+J183*'Factores generales'!$N$41,I183*'Factores generales'!$M$41+J183*'Factores generales'!$N$41)</f>
        <v>1541.6120441827356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Actividad'!$W181*'FE Sectorial'!I184</f>
        <v>0</v>
      </c>
      <c r="I185" s="92">
        <f>'Datos Actividad'!$W181*'FE Sectorial'!J184</f>
        <v>0</v>
      </c>
      <c r="J185" s="92">
        <f>'Datos Actividad'!$W181*'FE Sectorial'!K184</f>
        <v>0</v>
      </c>
      <c r="K185" s="92">
        <f>'Datos Actividad'!$W181*'FE Sectorial'!L184</f>
        <v>0</v>
      </c>
      <c r="L185" s="92">
        <f>'Datos Actividad'!$W181*'FE Sectorial'!M184</f>
        <v>0</v>
      </c>
      <c r="M185" s="92">
        <f>'Datos Actividad'!$W181*'FE Sectorial'!N184</f>
        <v>16250.865923954125</v>
      </c>
      <c r="N185" s="92">
        <f>'Datos Actividad'!$W181*'FE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Actividad'!$W182*'FE Sectorial'!I185</f>
        <v>982.09494655748563</v>
      </c>
      <c r="I186" s="92">
        <f>'Datos Actividad'!$W182*'FE Sectorial'!J185</f>
        <v>0</v>
      </c>
      <c r="J186" s="92">
        <f>'Datos Actividad'!$W182*'FE Sectorial'!K185</f>
        <v>0</v>
      </c>
      <c r="K186" s="92">
        <f>'Datos Actividad'!$W182*'FE Sectorial'!L185</f>
        <v>5.024671819596439E-3</v>
      </c>
      <c r="L186" s="92">
        <f>'Datos Actividad'!$W182*'FE Sectorial'!M185</f>
        <v>0</v>
      </c>
      <c r="M186" s="92">
        <f>'Datos Actividad'!$W182*'FE Sectorial'!N185</f>
        <v>0</v>
      </c>
      <c r="N186" s="92">
        <f>'Datos Actividad'!$W182*'FE Sectorial'!O185</f>
        <v>0</v>
      </c>
      <c r="O186" s="87">
        <f>IF(D186&lt;400,H186+I186*'Factores generales'!$M$41+J186*'Factores generales'!$N$41,I186*'Factores generales'!$M$41+J186*'Factores generales'!$N$41)</f>
        <v>982.09494655748563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3658.2202154334182</v>
      </c>
      <c r="I188" s="134">
        <f t="shared" ref="I188:O188" si="46">SUM(I189:I203)</f>
        <v>184071.41578499586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15766.05099467296</v>
      </c>
      <c r="N188" s="134">
        <f t="shared" si="46"/>
        <v>0</v>
      </c>
      <c r="O188" s="134">
        <f t="shared" si="46"/>
        <v>3869157.9517003461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Actividad'!$W187*'FE Sectorial'!I190</f>
        <v>1390.3982945366895</v>
      </c>
      <c r="I191" s="92">
        <f>'Datos Actividad'!$W187*'FE Sectorial'!J190</f>
        <v>83644.304655185901</v>
      </c>
      <c r="J191" s="92">
        <f>'Datos Actividad'!$W187*'FE Sectorial'!K190</f>
        <v>0</v>
      </c>
      <c r="K191" s="92">
        <f>'Datos Actividad'!$W187*'FE Sectorial'!L190</f>
        <v>0</v>
      </c>
      <c r="L191" s="92">
        <f>'Datos Actividad'!$W187*'FE Sectorial'!M190</f>
        <v>0</v>
      </c>
      <c r="M191" s="92">
        <f>'Datos Actividad'!$W187*'FE Sectorial'!N190</f>
        <v>9152.7220772214259</v>
      </c>
      <c r="N191" s="92">
        <f>'Datos Actividad'!$W187*'FE Sectorial'!O190</f>
        <v>0</v>
      </c>
      <c r="O191" s="87">
        <f>IF(D191&lt;400,H191+I191*'Factores generales'!$M$41+J191*'Factores generales'!$N$41,I191*'Factores generales'!$M$41+J191*'Factores generales'!$N$41)</f>
        <v>1757920.7960534405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Actividad'!$W189*'FE Sectorial'!I192</f>
        <v>507.70167322297112</v>
      </c>
      <c r="I193" s="92">
        <f>'Datos Actividad'!$W189*'FE Sectorial'!J192</f>
        <v>6346.2709152871403</v>
      </c>
      <c r="J193" s="92">
        <f>'Datos Actividad'!$W189*'FE Sectorial'!K192</f>
        <v>0</v>
      </c>
      <c r="K193" s="92">
        <f>'Datos Actividad'!$W189*'FE Sectorial'!L192</f>
        <v>0</v>
      </c>
      <c r="L193" s="92">
        <f>'Datos Actividad'!$W189*'FE Sectorial'!M192</f>
        <v>0</v>
      </c>
      <c r="M193" s="92">
        <f>'Datos Actividad'!$W189*'FE Sectorial'!N192</f>
        <v>5862.4339540661167</v>
      </c>
      <c r="N193" s="92">
        <f>'Datos Actividad'!$W189*'FE Sectorial'!O192</f>
        <v>0</v>
      </c>
      <c r="O193" s="87">
        <f>IF(D193&lt;400,H193+I193*'Factores generales'!$M$41+J193*'Factores generales'!$N$41,I193*'Factores generales'!$M$41+J193*'Factores generales'!$N$41)</f>
        <v>133779.39089425292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Actividad'!$W192*'FE Sectorial'!I195</f>
        <v>35.067737908523014</v>
      </c>
      <c r="I196" s="92">
        <f>'Datos Actividad'!$W192*'FE Sectorial'!J195</f>
        <v>10911.062119942926</v>
      </c>
      <c r="J196" s="92">
        <f>'Datos Actividad'!$W192*'FE Sectorial'!K195</f>
        <v>0</v>
      </c>
      <c r="K196" s="92">
        <f>'Datos Actividad'!$W192*'FE Sectorial'!L195</f>
        <v>0</v>
      </c>
      <c r="L196" s="92">
        <f>'Datos Actividad'!$W192*'FE Sectorial'!M195</f>
        <v>0</v>
      </c>
      <c r="M196" s="92">
        <f>'Datos Actividad'!$W192*'FE Sectorial'!N195</f>
        <v>260.93064338541672</v>
      </c>
      <c r="N196" s="92">
        <f>'Datos Actividad'!$W192*'FE Sectorial'!O195</f>
        <v>0</v>
      </c>
      <c r="O196" s="87">
        <f>IF(D196&lt;400,H196+I196*'Factores generales'!$M$41+J196*'Factores generales'!$N$41,I196*'Factores generales'!$M$41+J196*'Factores generales'!$N$41)</f>
        <v>229167.37225670996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Actividad'!$W194*'FE Sectorial'!I197</f>
        <v>1725.0525097652348</v>
      </c>
      <c r="I198" s="92">
        <f>'Datos Actividad'!$W194*'FE Sectorial'!J197</f>
        <v>33854.746043783882</v>
      </c>
      <c r="J198" s="92">
        <f>'Datos Actividad'!$W194*'FE Sectorial'!K197</f>
        <v>0</v>
      </c>
      <c r="K198" s="92">
        <f>'Datos Actividad'!$W194*'FE Sectorial'!L197</f>
        <v>0</v>
      </c>
      <c r="L198" s="92">
        <f>'Datos Actividad'!$W194*'FE Sectorial'!M197</f>
        <v>0</v>
      </c>
      <c r="M198" s="92">
        <f>'Datos Actividad'!$W194*'FE Sectorial'!N197</f>
        <v>489.9643200000001</v>
      </c>
      <c r="N198" s="92">
        <f>'Datos Actividad'!$W194*'FE Sectorial'!O197</f>
        <v>0</v>
      </c>
      <c r="O198" s="87">
        <f>IF(D198&lt;400,H198+I198*'Factores generales'!$M$41+J198*'Factores generales'!$N$41,I198*'Factores generales'!$M$41+J198*'Factores generales'!$N$41)</f>
        <v>712674.71942922683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Actividad'!$W197*'FE Sectorial'!I200</f>
        <v>0</v>
      </c>
      <c r="I201" s="92">
        <f>'Datos Actividad'!$W197*'FE Sectorial'!J200</f>
        <v>38518.344717300002</v>
      </c>
      <c r="J201" s="92">
        <f>'Datos Actividad'!$W197*'FE Sectorial'!K200</f>
        <v>0</v>
      </c>
      <c r="K201" s="92">
        <f>'Datos Actividad'!$W197*'FE Sectorial'!L200</f>
        <v>0</v>
      </c>
      <c r="L201" s="92">
        <f>'Datos Actividad'!$W197*'FE Sectorial'!M200</f>
        <v>0</v>
      </c>
      <c r="M201" s="92">
        <f>'Datos Actividad'!$W197*'FE Sectorial'!N200</f>
        <v>0</v>
      </c>
      <c r="N201" s="92">
        <f>'Datos Actividad'!$W197*'FE Sectorial'!O200</f>
        <v>0</v>
      </c>
      <c r="O201" s="87">
        <f>IF(D201&lt;400,H201+I201*'Factores generales'!$M$41+J201*'Factores generales'!$N$41,I201*'Factores generales'!$M$41+J201*'Factores generales'!$N$41)</f>
        <v>808885.23906330008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Actividad'!$W199*'FE Sectorial'!I202</f>
        <v>0</v>
      </c>
      <c r="I203" s="92">
        <f>'Datos Actividad'!$W199*'FE Sectorial'!J202</f>
        <v>10796.687333496</v>
      </c>
      <c r="J203" s="92">
        <f>'Datos Actividad'!$W199*'FE Sectorial'!K202</f>
        <v>0</v>
      </c>
      <c r="K203" s="92">
        <f>'Datos Actividad'!$W199*'FE Sectorial'!L202</f>
        <v>0</v>
      </c>
      <c r="L203" s="92">
        <f>'Datos Actividad'!$W199*'FE Sectorial'!M202</f>
        <v>0</v>
      </c>
      <c r="M203" s="92">
        <f>'Datos Actividad'!$W199*'FE Sectorial'!N202</f>
        <v>0</v>
      </c>
      <c r="N203" s="92">
        <f>'Datos Actividad'!$W199*'FE Sectorial'!O202</f>
        <v>0</v>
      </c>
      <c r="O203" s="87">
        <f>IF(D203&lt;400,H203+I203*'Factores generales'!$M$41+J203*'Factores generales'!$N$41,I203*'Factores generales'!$M$41+J203*'Factores generales'!$N$41)</f>
        <v>226730.43400341601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3703243.3698049192</v>
      </c>
      <c r="I204" s="134">
        <f t="shared" ref="I204:O204" si="47">SUM(I205:I221)</f>
        <v>38150.225967502214</v>
      </c>
      <c r="J204" s="134">
        <f t="shared" si="47"/>
        <v>30.818275597905412</v>
      </c>
      <c r="K204" s="134">
        <f t="shared" si="47"/>
        <v>0</v>
      </c>
      <c r="L204" s="134">
        <f t="shared" si="47"/>
        <v>0</v>
      </c>
      <c r="M204" s="134">
        <f t="shared" si="47"/>
        <v>20703.698724160844</v>
      </c>
      <c r="N204" s="134">
        <f t="shared" si="47"/>
        <v>0</v>
      </c>
      <c r="O204" s="134">
        <f t="shared" si="47"/>
        <v>4513951.7805578168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Actividad'!$W203*'FE Sectorial'!I206</f>
        <v>4304.3609543819784</v>
      </c>
      <c r="I207" s="92">
        <f>'Datos Actividad'!$W203*'FE Sectorial'!J206</f>
        <v>32700.85063115471</v>
      </c>
      <c r="J207" s="92">
        <f>'Datos Actividad'!$W203*'FE Sectorial'!K206</f>
        <v>0</v>
      </c>
      <c r="K207" s="92">
        <f>'Datos Actividad'!$W203*'FE Sectorial'!L206</f>
        <v>0</v>
      </c>
      <c r="L207" s="92">
        <f>'Datos Actividad'!$W203*'FE Sectorial'!M206</f>
        <v>0</v>
      </c>
      <c r="M207" s="92">
        <f>'Datos Actividad'!$W203*'FE Sectorial'!N206</f>
        <v>19509.019283080168</v>
      </c>
      <c r="N207" s="92">
        <f>'Datos Actividad'!$W203*'FE Sectorial'!O206</f>
        <v>0</v>
      </c>
      <c r="O207" s="87">
        <f>IF(D207&lt;400,H207+I207*'Factores generales'!$M$41+J207*'Factores generales'!$N$41,I207*'Factores generales'!$M$41+J207*'Factores generales'!$N$41)</f>
        <v>691022.22420863085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 x14ac:dyDescent="0.25">
      <c r="A209" s="20"/>
      <c r="E209" s="27" t="s">
        <v>17</v>
      </c>
      <c r="F209" s="27" t="s">
        <v>127</v>
      </c>
      <c r="H209" s="92">
        <f>'Datos Actividad'!$W205*'FE Sectorial'!I208</f>
        <v>1855928.0953804136</v>
      </c>
      <c r="I209" s="92">
        <f>'Datos Actividad'!$W205*'FE Sectorial'!J208</f>
        <v>1129.2358758474534</v>
      </c>
      <c r="J209" s="92">
        <f>'Datos Actividad'!$W205*'FE Sectorial'!K208</f>
        <v>29.067422783248634</v>
      </c>
      <c r="K209" s="92">
        <f>'Datos Actividad'!$W205*'FE Sectorial'!L208</f>
        <v>0</v>
      </c>
      <c r="L209" s="92">
        <f>'Datos Actividad'!$W205*'FE Sectorial'!M208</f>
        <v>0</v>
      </c>
      <c r="M209" s="92">
        <f>'Datos Actividad'!$W205*'FE Sectorial'!N208</f>
        <v>955.83702828850346</v>
      </c>
      <c r="N209" s="92">
        <f>'Datos Actividad'!$W205*'FE Sectorial'!O208</f>
        <v>0</v>
      </c>
      <c r="O209" s="87">
        <f>IF(D209&lt;400,H209+I209*'Factores generales'!$M$41+J209*'Factores generales'!$N$41,I209*'Factores generales'!$M$41+J209*'Factores generales'!$N$41)</f>
        <v>1888652.9498360171</v>
      </c>
    </row>
    <row r="210" spans="1:16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 x14ac:dyDescent="0.25">
      <c r="A213" s="20"/>
      <c r="B213" s="28"/>
      <c r="E213" s="27" t="s">
        <v>17</v>
      </c>
      <c r="F213" s="11" t="s">
        <v>8</v>
      </c>
      <c r="H213" s="92">
        <f>'Datos Actividad'!$W209*'FE Sectorial'!I212</f>
        <v>1707382.2191259093</v>
      </c>
      <c r="I213" s="92">
        <f>'Datos Actividad'!$W209*'FE Sectorial'!J212</f>
        <v>0</v>
      </c>
      <c r="J213" s="92">
        <f>'Datos Actividad'!$W209*'FE Sectorial'!K212</f>
        <v>0</v>
      </c>
      <c r="K213" s="92">
        <f>'Datos Actividad'!$W209*'FE Sectorial'!L212</f>
        <v>0</v>
      </c>
      <c r="L213" s="92">
        <f>'Datos Actividad'!$W209*'FE Sectorial'!M212</f>
        <v>0</v>
      </c>
      <c r="M213" s="92">
        <f>'Datos Actividad'!$W209*'FE Sectorial'!N212</f>
        <v>0</v>
      </c>
      <c r="N213" s="92">
        <f>'Datos Actividad'!$W209*'FE Sectorial'!O212</f>
        <v>0</v>
      </c>
      <c r="O213" s="87">
        <f>IF(D213&lt;400,H213+I213*'Factores generales'!$M$41+J213*'Factores generales'!$N$41,I213*'Factores generales'!$M$41+J213*'Factores generales'!$N$41)</f>
        <v>1707382.2191259093</v>
      </c>
    </row>
    <row r="214" spans="1:16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 x14ac:dyDescent="0.25">
      <c r="A215" s="20"/>
      <c r="B215" s="28"/>
      <c r="E215" s="27" t="s">
        <v>164</v>
      </c>
      <c r="F215" s="11" t="s">
        <v>8</v>
      </c>
      <c r="H215" s="92">
        <f>'Datos Actividad'!$W211*'FE Sectorial'!I214</f>
        <v>111.52868621768711</v>
      </c>
      <c r="I215" s="92">
        <f>'Datos Actividad'!$W211*'FE Sectorial'!J214</f>
        <v>4230.4494254211513</v>
      </c>
      <c r="J215" s="92">
        <f>'Datos Actividad'!$W211*'FE Sectorial'!K214</f>
        <v>0</v>
      </c>
      <c r="K215" s="92">
        <f>'Datos Actividad'!$W211*'FE Sectorial'!L214</f>
        <v>0</v>
      </c>
      <c r="L215" s="92">
        <f>'Datos Actividad'!$W211*'FE Sectorial'!M214</f>
        <v>0</v>
      </c>
      <c r="M215" s="92">
        <f>'Datos Actividad'!$W211*'FE Sectorial'!N214</f>
        <v>166.77062939049384</v>
      </c>
      <c r="N215" s="92">
        <f>'Datos Actividad'!$W211*'FE Sectorial'!O214</f>
        <v>0</v>
      </c>
      <c r="O215" s="87">
        <f>IF(D215&lt;400,H215+I215*'Factores generales'!$M$41+J215*'Factores generales'!$N$41,I215*'Factores generales'!$M$41+J215*'Factores generales'!$N$41)</f>
        <v>88950.966620061867</v>
      </c>
    </row>
    <row r="216" spans="1:16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 x14ac:dyDescent="0.25">
      <c r="A218" s="20"/>
      <c r="B218" s="28"/>
      <c r="E218" s="27" t="s">
        <v>17</v>
      </c>
      <c r="F218" s="11" t="s">
        <v>8</v>
      </c>
      <c r="H218" s="92">
        <f>'Datos Actividad'!$W214*'FE Sectorial'!I217</f>
        <v>38378.639073124636</v>
      </c>
      <c r="I218" s="92">
        <f>'Datos Actividad'!$W214*'FE Sectorial'!J217</f>
        <v>24.146030904425324</v>
      </c>
      <c r="J218" s="92">
        <f>'Datos Actividad'!$W214*'FE Sectorial'!K217</f>
        <v>0.68351429579091183</v>
      </c>
      <c r="K218" s="92">
        <f>'Datos Actividad'!$W214*'FE Sectorial'!L217</f>
        <v>0</v>
      </c>
      <c r="L218" s="92">
        <f>'Datos Actividad'!$W214*'FE Sectorial'!M217</f>
        <v>0</v>
      </c>
      <c r="M218" s="92">
        <f>'Datos Actividad'!$W214*'FE Sectorial'!N217</f>
        <v>20.106860443722834</v>
      </c>
      <c r="N218" s="92">
        <f>'Datos Actividad'!$W214*'FE Sectorial'!O217</f>
        <v>0</v>
      </c>
      <c r="O218" s="87">
        <f>IF(D218&lt;400,H218+I218*'Factores generales'!$M$41+J218*'Factores generales'!$N$41,I218*'Factores generales'!$M$41+J218*'Factores generales'!$N$41)</f>
        <v>39097.595153812756</v>
      </c>
    </row>
    <row r="219" spans="1:16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 x14ac:dyDescent="0.25">
      <c r="A220" s="20"/>
      <c r="E220" s="27" t="s">
        <v>17</v>
      </c>
      <c r="F220" s="11" t="s">
        <v>8</v>
      </c>
      <c r="H220" s="92">
        <f>'Datos Actividad'!$W216*'FE Sectorial'!I219</f>
        <v>97138.526584872554</v>
      </c>
      <c r="I220" s="92">
        <f>'Datos Actividad'!$W216*'FE Sectorial'!J219</f>
        <v>65.544004174473571</v>
      </c>
      <c r="J220" s="92">
        <f>'Datos Actividad'!$W216*'FE Sectorial'!K219</f>
        <v>1.0673385188658655</v>
      </c>
      <c r="K220" s="92">
        <f>'Datos Actividad'!$W216*'FE Sectorial'!L219</f>
        <v>0</v>
      </c>
      <c r="L220" s="92">
        <f>'Datos Actividad'!$W216*'FE Sectorial'!M219</f>
        <v>0</v>
      </c>
      <c r="M220" s="92">
        <f>'Datos Actividad'!$W216*'FE Sectorial'!N219</f>
        <v>51.964922957954471</v>
      </c>
      <c r="N220" s="92">
        <f>'Datos Actividad'!$W216*'FE Sectorial'!O219</f>
        <v>0</v>
      </c>
      <c r="O220" s="87">
        <f>IF(D220&lt;400,H220+I220*'Factores generales'!$M$41+J220*'Factores generales'!$N$41,I220*'Factores generales'!$M$41+J220*'Factores generales'!$N$41)</f>
        <v>98845.825613384921</v>
      </c>
    </row>
    <row r="221" spans="1:16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8330771.3599551609</v>
      </c>
      <c r="O223" s="23" t="s">
        <v>237</v>
      </c>
      <c r="P223" s="141">
        <f>+N223/9995830-1</f>
        <v>-0.16657532591539059</v>
      </c>
    </row>
    <row r="224" spans="1:16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3020774.6126130819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1830331.4789026922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1190443.13371039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106478725.04958832</v>
      </c>
      <c r="I5" s="138">
        <f t="shared" si="0"/>
        <v>241566.69676580461</v>
      </c>
      <c r="J5" s="138">
        <f t="shared" si="0"/>
        <v>3518.2093507501259</v>
      </c>
      <c r="K5" s="138">
        <f t="shared" si="0"/>
        <v>605114.36817354872</v>
      </c>
      <c r="L5" s="138">
        <f t="shared" si="0"/>
        <v>2491048.2660242394</v>
      </c>
      <c r="M5" s="138">
        <f t="shared" si="0"/>
        <v>499764.35359996033</v>
      </c>
      <c r="N5" s="138">
        <f t="shared" si="0"/>
        <v>82340.069510265836</v>
      </c>
      <c r="O5" s="138">
        <f t="shared" si="0"/>
        <v>112687216.79750802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103020589.89932323</v>
      </c>
      <c r="I6" s="124">
        <f t="shared" si="1"/>
        <v>15047.57884694715</v>
      </c>
      <c r="J6" s="124">
        <f t="shared" si="1"/>
        <v>3490.4940466255453</v>
      </c>
      <c r="K6" s="124">
        <f t="shared" si="1"/>
        <v>603694.82962307625</v>
      </c>
      <c r="L6" s="124">
        <f t="shared" si="1"/>
        <v>2488777.0123442393</v>
      </c>
      <c r="M6" s="124">
        <f t="shared" si="1"/>
        <v>398518.26017596509</v>
      </c>
      <c r="N6" s="124">
        <f t="shared" si="1"/>
        <v>59627.532710265827</v>
      </c>
      <c r="O6" s="124">
        <f t="shared" si="1"/>
        <v>104463588.42666829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27669027.248011384</v>
      </c>
      <c r="I7" s="129">
        <f t="shared" si="2"/>
        <v>687.08556308709706</v>
      </c>
      <c r="J7" s="129">
        <f t="shared" si="2"/>
        <v>122.92691950961004</v>
      </c>
      <c r="K7" s="129">
        <f t="shared" si="2"/>
        <v>74289.864722489714</v>
      </c>
      <c r="L7" s="129">
        <f t="shared" si="2"/>
        <v>8226.088362343733</v>
      </c>
      <c r="M7" s="129">
        <f t="shared" si="2"/>
        <v>2209.7338377914393</v>
      </c>
      <c r="N7" s="129">
        <f t="shared" si="2"/>
        <v>31771.589534002534</v>
      </c>
      <c r="O7" s="129">
        <f t="shared" si="2"/>
        <v>27721563.389884192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17222167.212680496</v>
      </c>
      <c r="I8" s="134">
        <f t="shared" si="3"/>
        <v>412.03099312799998</v>
      </c>
      <c r="J8" s="134">
        <f t="shared" si="3"/>
        <v>73.211643472800006</v>
      </c>
      <c r="K8" s="134">
        <f t="shared" si="3"/>
        <v>46436.995359199995</v>
      </c>
      <c r="L8" s="134">
        <f t="shared" si="3"/>
        <v>5242.5949245600004</v>
      </c>
      <c r="M8" s="134">
        <f t="shared" si="3"/>
        <v>1393.9272016400002</v>
      </c>
      <c r="N8" s="134">
        <f t="shared" si="3"/>
        <v>19312.228340000001</v>
      </c>
      <c r="O8" s="134">
        <f t="shared" si="3"/>
        <v>17253515.473012753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17222167.212680496</v>
      </c>
      <c r="I9" s="93">
        <f t="shared" ref="I9:O9" si="4">I10+I11+I12+I13+I14</f>
        <v>412.03099312799998</v>
      </c>
      <c r="J9" s="93">
        <f t="shared" si="4"/>
        <v>73.211643472800006</v>
      </c>
      <c r="K9" s="93">
        <f t="shared" si="4"/>
        <v>46436.995359199995</v>
      </c>
      <c r="L9" s="93">
        <f t="shared" si="4"/>
        <v>5242.5949245600004</v>
      </c>
      <c r="M9" s="93">
        <f t="shared" si="4"/>
        <v>1393.9272016400002</v>
      </c>
      <c r="N9" s="93">
        <f t="shared" si="4"/>
        <v>19312.228340000001</v>
      </c>
      <c r="O9" s="93">
        <f t="shared" si="4"/>
        <v>17253515.473012753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Actividad'!$X6*'FE Sectorial'!$H9*'FE Sectorial'!I9*'FE Sectorial'!$P9/1000</f>
        <v>796077.71831279993</v>
      </c>
      <c r="I10" s="92">
        <f>'Datos Actividad'!$X6*'FE Sectorial'!$H9*'FE Sectorial'!J9/1000/1000</f>
        <v>8.5869365999999996</v>
      </c>
      <c r="J10" s="92">
        <f>'Datos Actividad'!$X6*'FE Sectorial'!$H9*'FE Sectorial'!K9/1000/1000</f>
        <v>12.880404900000002</v>
      </c>
      <c r="K10" s="92">
        <f>'Datos Actividad'!$X6*'FE Sectorial'!$H9*'FE Sectorial'!L9/1000/1000</f>
        <v>2576.0809800000002</v>
      </c>
      <c r="L10" s="92">
        <f>'Datos Actividad'!$X6*'FE Sectorial'!$H9*'FE Sectorial'!M9/1000/1000</f>
        <v>171.738732</v>
      </c>
      <c r="M10" s="92">
        <f>'Datos Actividad'!$X6*'FE Sectorial'!$H9*'FE Sectorial'!N9/1000/1000</f>
        <v>42.934683</v>
      </c>
      <c r="N10" s="92">
        <f>'Datos Actividad'!$X6*'FE Sectorial'!$H9*'FE Sectorial'!O9/1000/1000</f>
        <v>8220.8269</v>
      </c>
      <c r="O10" s="92">
        <f>IF(D10&lt;400,H10+I10*'Factores generales'!$M$41+J10*'Factores generales'!$N$41,I10*'Factores generales'!$M$41+J10*'Factores generales'!$N$41)</f>
        <v>800250.96950040001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Actividad'!$X7*'FE Sectorial'!$H10*'FE Sectorial'!I10*'FE Sectorial'!$P10/1000</f>
        <v>953031.12418799999</v>
      </c>
      <c r="I11" s="17">
        <f>'Datos Actividad'!$X7*'FE Sectorial'!$H10*'FE Sectorial'!J10/1000/1000</f>
        <v>38.973996</v>
      </c>
      <c r="J11" s="17">
        <f>'Datos Actividad'!$X7*'FE Sectorial'!$H10*'FE Sectorial'!K10/1000/1000</f>
        <v>7.794799199999999</v>
      </c>
      <c r="K11" s="17">
        <f>'Datos Actividad'!$X7*'FE Sectorial'!$H10*'FE Sectorial'!L10/1000/1000</f>
        <v>2598.2664</v>
      </c>
      <c r="L11" s="17">
        <f>'Datos Actividad'!$X7*'FE Sectorial'!$H10*'FE Sectorial'!M10/1000/1000</f>
        <v>194.86998</v>
      </c>
      <c r="M11" s="17">
        <f>'Datos Actividad'!$X7*'FE Sectorial'!$H10*'FE Sectorial'!N10/1000/1000</f>
        <v>64.956659999999999</v>
      </c>
      <c r="N11" s="17">
        <f>'Datos Actividad'!$X7*'FE Sectorial'!$H10*'FE Sectorial'!O10/1000/1000</f>
        <v>471.31344000000001</v>
      </c>
      <c r="O11" s="17">
        <f>IF(D11&lt;400,H11+I11*'Factores generales'!$M$41+J11*'Factores generales'!$N$41,I11*'Factores generales'!$M$41+J11*'Factores generales'!$N$41)</f>
        <v>956265.96585599997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Actividad'!$X8*'FE Sectorial'!$H11*'FE Sectorial'!I11*'FE Sectorial'!$P11/1000</f>
        <v>4109563.0585944005</v>
      </c>
      <c r="I12" s="92">
        <f>'Datos Actividad'!$X8*'FE Sectorial'!$H11*'FE Sectorial'!J11/1000/1000</f>
        <v>160.89433320000001</v>
      </c>
      <c r="J12" s="92">
        <f>'Datos Actividad'!$X8*'FE Sectorial'!$H11*'FE Sectorial'!K11/1000/1000</f>
        <v>32.178866639999995</v>
      </c>
      <c r="K12" s="92">
        <f>'Datos Actividad'!$X8*'FE Sectorial'!$H11*'FE Sectorial'!L11/1000/1000</f>
        <v>10726.28888</v>
      </c>
      <c r="L12" s="92">
        <f>'Datos Actividad'!$X8*'FE Sectorial'!$H11*'FE Sectorial'!M11/1000/1000</f>
        <v>804.47166599999991</v>
      </c>
      <c r="M12" s="92">
        <f>'Datos Actividad'!$X8*'FE Sectorial'!$H11*'FE Sectorial'!N11/1000/1000</f>
        <v>268.15722199999999</v>
      </c>
      <c r="N12" s="92">
        <f>'Datos Actividad'!$X8*'FE Sectorial'!$H11*'FE Sectorial'!O11/1000/1000</f>
        <v>10620.088</v>
      </c>
      <c r="O12" s="92">
        <f>IF(D12&lt;400,H12+I12*'Factores generales'!$M$41+J12*'Factores generales'!$N$41,I12*'Factores generales'!$M$41+J12*'Factores generales'!$N$41)</f>
        <v>4122917.2882500007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Actividad'!$X9*'FE Sectorial'!$H12*'FE Sectorial'!I12*'FE Sectorial'!$P12/1000</f>
        <v>11363495.311585296</v>
      </c>
      <c r="I13" s="17">
        <f>'Datos Actividad'!$X9*'FE Sectorial'!$H12*'FE Sectorial'!J12/1000/1000</f>
        <v>203.575727328</v>
      </c>
      <c r="J13" s="17">
        <f>'Datos Actividad'!$X9*'FE Sectorial'!$H12*'FE Sectorial'!K12/1000/1000</f>
        <v>20.357572732800001</v>
      </c>
      <c r="K13" s="17">
        <f>'Datos Actividad'!$X9*'FE Sectorial'!$H12*'FE Sectorial'!L12/1000/1000</f>
        <v>30536.359099199999</v>
      </c>
      <c r="L13" s="17">
        <f>'Datos Actividad'!$X9*'FE Sectorial'!$H12*'FE Sectorial'!M12/1000/1000</f>
        <v>4071.5145465600008</v>
      </c>
      <c r="M13" s="17">
        <f>'Datos Actividad'!$X9*'FE Sectorial'!$H12*'FE Sectorial'!N12/1000/1000</f>
        <v>1017.8786366400002</v>
      </c>
      <c r="N13" s="17">
        <f>'Datos Actividad'!$X9*'FE Sectorial'!$H12*'FE Sectorial'!O12/1000/1000</f>
        <v>0</v>
      </c>
      <c r="O13" s="17">
        <f>IF(D13&lt;400,H13+I13*'Factores generales'!$M$41+J13*'Factores generales'!$N$41,I13*'Factores generales'!$M$41+J13*'Factores generales'!$N$41)</f>
        <v>11374081.249406353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Actividad'!$X10*'FE Sectorial'!$H13*'FE Sectorial'!I13*'FE Sectorial'!$P13/1000</f>
        <v>0</v>
      </c>
      <c r="I14" s="147">
        <f>'Datos Actividad'!$X10*'FE Sectorial'!$H13*'FE Sectorial'!J13/1000/1000</f>
        <v>0</v>
      </c>
      <c r="J14" s="147">
        <f>'Datos Actividad'!$X10*'FE Sectorial'!$H13*'FE Sectorial'!K13/1000/1000</f>
        <v>0</v>
      </c>
      <c r="K14" s="147">
        <f>'Datos Actividad'!$X10*'FE Sectorial'!$H13*'FE Sectorial'!L13/1000/1000</f>
        <v>0</v>
      </c>
      <c r="L14" s="147">
        <f>'Datos Actividad'!$X10*'FE Sectorial'!$H13*'FE Sectorial'!M13/1000/1000</f>
        <v>0</v>
      </c>
      <c r="M14" s="147">
        <f>'Datos Actividad'!$X10*'FE Sectorial'!$H13*'FE Sectorial'!N13/1000/1000</f>
        <v>0</v>
      </c>
      <c r="N14" s="147">
        <f>'Datos Actividad'!$X10*'FE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7115128.976450488</v>
      </c>
      <c r="I17" s="134">
        <f t="shared" ref="I17:O17" si="5">SUM(I18:I25)</f>
        <v>215.27065275909706</v>
      </c>
      <c r="J17" s="134">
        <f t="shared" si="5"/>
        <v>41.019991316810035</v>
      </c>
      <c r="K17" s="134">
        <f t="shared" si="5"/>
        <v>18805.429283289715</v>
      </c>
      <c r="L17" s="134">
        <f t="shared" si="5"/>
        <v>1821.5070437837333</v>
      </c>
      <c r="M17" s="134">
        <f t="shared" si="5"/>
        <v>524.37415015143904</v>
      </c>
      <c r="N17" s="134">
        <f t="shared" si="5"/>
        <v>10294.861194002533</v>
      </c>
      <c r="O17" s="134">
        <f t="shared" si="5"/>
        <v>7132365.85746664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Actividad'!$X14*'FE Sectorial'!$H17*'FE Sectorial'!I17*'FE Sectorial'!P17/1000</f>
        <v>1099651.95579888</v>
      </c>
      <c r="I18" s="17">
        <f>'Datos Actividad'!$X14*'FE Sectorial'!$H17*'FE Sectorial'!J17/1000/1000</f>
        <v>19.700139839999999</v>
      </c>
      <c r="J18" s="17">
        <f>'Datos Actividad'!$X14*'FE Sectorial'!$H17*'FE Sectorial'!K17/1000/1000</f>
        <v>1.9700139840000002</v>
      </c>
      <c r="K18" s="17">
        <f>'Datos Actividad'!$X14*'FE Sectorial'!$H17*'FE Sectorial'!L17/1000/1000</f>
        <v>2955.0209759999998</v>
      </c>
      <c r="L18" s="17">
        <f>'Datos Actividad'!$X14*'FE Sectorial'!$H17*'FE Sectorial'!M17/1000/1000</f>
        <v>394.0027968</v>
      </c>
      <c r="M18" s="17">
        <f>'Datos Actividad'!$X14*'FE Sectorial'!$H17*'FE Sectorial'!N17/1000/1000</f>
        <v>98.5006992</v>
      </c>
      <c r="N18" s="17">
        <f>'Datos Actividad'!$X14*'FE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1100676.3630705599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Actividad'!$X15*'FE Sectorial'!$H18*'FE Sectorial'!I18*'FE Sectorial'!P18/1000</f>
        <v>30146.889037808214</v>
      </c>
      <c r="I19" s="17">
        <f>'Datos Actividad'!$X15*'FE Sectorial'!$H18*'FE Sectorial'!J18/1000/1000</f>
        <v>0.48258958904109578</v>
      </c>
      <c r="J19" s="17">
        <f>'Datos Actividad'!$X15*'FE Sectorial'!$H18*'FE Sectorial'!K18/1000/1000</f>
        <v>4.8258958904109583E-2</v>
      </c>
      <c r="K19" s="17">
        <f>'Datos Actividad'!$X15*'FE Sectorial'!$H18*'FE Sectorial'!L18/1000/1000</f>
        <v>72.388438356164357</v>
      </c>
      <c r="L19" s="17">
        <f>'Datos Actividad'!$X15*'FE Sectorial'!$H18*'FE Sectorial'!M18/1000/1000</f>
        <v>9.6517917808219149</v>
      </c>
      <c r="M19" s="17">
        <f>'Datos Actividad'!$X15*'FE Sectorial'!$H18*'FE Sectorial'!N18/1000/1000</f>
        <v>2.4129479452054787</v>
      </c>
      <c r="N19" s="17">
        <f>'Datos Actividad'!$X15*'FE Sectorial'!$H18*'FE Sectorial'!O18/1000/1000</f>
        <v>2.0405479452054793</v>
      </c>
      <c r="O19" s="87">
        <f>IF(D19&lt;400,H19+I19*'Factores generales'!$M$41+J19*'Factores generales'!$N$41,I19*'Factores generales'!$M$41+J19*'Factores generales'!$N$41)</f>
        <v>30171.98369643835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Actividad'!$X16*'FE Sectorial'!$H19*'FE Sectorial'!I19*'FE Sectorial'!P19/1000</f>
        <v>1570279.7103840001</v>
      </c>
      <c r="I20" s="17">
        <f>'Datos Actividad'!$X16*'FE Sectorial'!$H19*'FE Sectorial'!J19/1000/1000</f>
        <v>27.398794500000001</v>
      </c>
      <c r="J20" s="17">
        <f>'Datos Actividad'!$X16*'FE Sectorial'!$H19*'FE Sectorial'!K19/1000/1000</f>
        <v>2.7398794500000005</v>
      </c>
      <c r="K20" s="17">
        <f>'Datos Actividad'!$X16*'FE Sectorial'!$H19*'FE Sectorial'!L19/1000/1000</f>
        <v>4109.8191749999996</v>
      </c>
      <c r="L20" s="17">
        <f>'Datos Actividad'!$X16*'FE Sectorial'!$H19*'FE Sectorial'!M19/1000/1000</f>
        <v>547.97589000000005</v>
      </c>
      <c r="M20" s="17">
        <f>'Datos Actividad'!$X16*'FE Sectorial'!$H19*'FE Sectorial'!N19/1000/1000</f>
        <v>136.99397250000001</v>
      </c>
      <c r="N20" s="17">
        <f>'Datos Actividad'!$X16*'FE Sectorial'!$H19*'FE Sectorial'!O19/1000/1000</f>
        <v>0</v>
      </c>
      <c r="O20" s="87">
        <f>IF(D20&lt;400,H20+I20*'Factores generales'!$M$41+J20*'Factores generales'!$N$41,I20*'Factores generales'!$M$41+J20*'Factores generales'!$N$41)</f>
        <v>1571704.4476980001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Actividad'!$X17*'FE Sectorial'!$H20*'FE Sectorial'!I20*'FE Sectorial'!P20/1000</f>
        <v>27743.611721067969</v>
      </c>
      <c r="I21" s="17">
        <f>'Datos Actividad'!$X17*'FE Sectorial'!$H20*'FE Sectorial'!J20/1000/1000</f>
        <v>1.1758258834951461</v>
      </c>
      <c r="J21" s="17">
        <f>'Datos Actividad'!$X17*'FE Sectorial'!$H20*'FE Sectorial'!K20/1000/1000</f>
        <v>0.2351651766990292</v>
      </c>
      <c r="K21" s="17">
        <f>'Datos Actividad'!$X17*'FE Sectorial'!$H20*'FE Sectorial'!L20/1000/1000</f>
        <v>78.388392233009725</v>
      </c>
      <c r="L21" s="17">
        <f>'Datos Actividad'!$X17*'FE Sectorial'!$H20*'FE Sectorial'!M20/1000/1000</f>
        <v>5.8791294174757303</v>
      </c>
      <c r="M21" s="17">
        <f>'Datos Actividad'!$X17*'FE Sectorial'!$H20*'FE Sectorial'!N20/1000/1000</f>
        <v>1.9597098058252431</v>
      </c>
      <c r="N21" s="17">
        <f>'Datos Actividad'!$X17*'FE Sectorial'!$H20*'FE Sectorial'!O20/1000/1000</f>
        <v>17.775145631067964</v>
      </c>
      <c r="O21" s="87">
        <f>IF(D21&lt;400,H21+I21*'Factores generales'!$M$41+J21*'Factores generales'!$N$41,I21*'Factores generales'!$M$41+J21*'Factores generales'!$N$41)</f>
        <v>27841.205269398066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Actividad'!$X18*'FE Sectorial'!$H21*'FE Sectorial'!I21*'FE Sectorial'!P21/1000</f>
        <v>13402.828864173915</v>
      </c>
      <c r="I22" s="17">
        <f>'Datos Actividad'!$X18*'FE Sectorial'!$H21*'FE Sectorial'!J21/1000/1000</f>
        <v>0.58606973913043492</v>
      </c>
      <c r="J22" s="17">
        <f>'Datos Actividad'!$X18*'FE Sectorial'!$H21*'FE Sectorial'!K21/1000/1000</f>
        <v>0.11721394782608696</v>
      </c>
      <c r="K22" s="17">
        <f>'Datos Actividad'!$X18*'FE Sectorial'!$H21*'FE Sectorial'!L21/1000/1000</f>
        <v>39.071315942028988</v>
      </c>
      <c r="L22" s="17">
        <f>'Datos Actividad'!$X18*'FE Sectorial'!$H21*'FE Sectorial'!M21/1000/1000</f>
        <v>2.930348695652174</v>
      </c>
      <c r="M22" s="17">
        <f>'Datos Actividad'!$X18*'FE Sectorial'!$H21*'FE Sectorial'!N21/1000/1000</f>
        <v>0.97678289855072487</v>
      </c>
      <c r="N22" s="17">
        <f>'Datos Actividad'!$X18*'FE Sectorial'!$H21*'FE Sectorial'!O21/1000/1000</f>
        <v>0.88197101449275372</v>
      </c>
      <c r="O22" s="87">
        <f>IF(D22&lt;400,H22+I22*'Factores generales'!$M$41+J22*'Factores generales'!$N$41,I22*'Factores generales'!$M$41+J22*'Factores generales'!$N$41)</f>
        <v>13451.472652521739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Actividad'!$X19*'FE Sectorial'!$H22*'FE Sectorial'!I22*'FE Sectorial'!P22/1000</f>
        <v>244839.97773529412</v>
      </c>
      <c r="I23" s="17">
        <f>'Datos Actividad'!$X19*'FE Sectorial'!$H22*'FE Sectorial'!J22/1000/1000</f>
        <v>10.012676470588236</v>
      </c>
      <c r="J23" s="17">
        <f>'Datos Actividad'!$X19*'FE Sectorial'!$H22*'FE Sectorial'!K22/1000/1000</f>
        <v>2.0025352941176466</v>
      </c>
      <c r="K23" s="17">
        <f>'Datos Actividad'!$X19*'FE Sectorial'!$H22*'FE Sectorial'!L22/1000/1000</f>
        <v>667.51176470588234</v>
      </c>
      <c r="L23" s="17">
        <f>'Datos Actividad'!$X19*'FE Sectorial'!$H22*'FE Sectorial'!M22/1000/1000</f>
        <v>50.063382352941169</v>
      </c>
      <c r="M23" s="17">
        <f>'Datos Actividad'!$X19*'FE Sectorial'!$H22*'FE Sectorial'!N22/1000/1000</f>
        <v>16.687794117647055</v>
      </c>
      <c r="N23" s="17">
        <f>'Datos Actividad'!$X19*'FE Sectorial'!$H22*'FE Sectorial'!O22/1000/1000</f>
        <v>121.0835294117647</v>
      </c>
      <c r="O23" s="87">
        <f>IF(D23&lt;400,H23+I23*'Factores generales'!$M$41+J23*'Factores generales'!$N$41,I23*'Factores generales'!$M$41+J23*'Factores generales'!$N$41)</f>
        <v>245671.02988235294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Actividad'!$X20*'FE Sectorial'!$H23*'FE Sectorial'!I23*'FE Sectorial'!P23/1000</f>
        <v>3928849.0358040007</v>
      </c>
      <c r="I24" s="17">
        <f>'Datos Actividad'!$X20*'FE Sectorial'!$H23*'FE Sectorial'!J23/1000/1000</f>
        <v>153.81916200000003</v>
      </c>
      <c r="J24" s="17">
        <f>'Datos Actividad'!$X20*'FE Sectorial'!$H23*'FE Sectorial'!K23/1000/1000</f>
        <v>30.763832400000002</v>
      </c>
      <c r="K24" s="17">
        <f>'Datos Actividad'!$X20*'FE Sectorial'!$H23*'FE Sectorial'!L23/1000/1000</f>
        <v>10254.610800000002</v>
      </c>
      <c r="L24" s="17">
        <f>'Datos Actividad'!$X20*'FE Sectorial'!$H23*'FE Sectorial'!M23/1000/1000</f>
        <v>769.09581000000014</v>
      </c>
      <c r="M24" s="17">
        <f>'Datos Actividad'!$X20*'FE Sectorial'!$H23*'FE Sectorial'!N23/1000/1000</f>
        <v>256.36527000000001</v>
      </c>
      <c r="N24" s="17">
        <f>'Datos Actividad'!$X20*'FE Sectorial'!$H23*'FE Sectorial'!O23/1000/1000</f>
        <v>10153.080000000002</v>
      </c>
      <c r="O24" s="87">
        <f>IF(D24&lt;400,H24+I24*'Factores generales'!$M$41+J24*'Factores generales'!$N$41,I24*'Factores generales'!$M$41+J24*'Factores generales'!$N$41)</f>
        <v>3941616.0262500006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Actividad'!$X21*'FE Sectorial'!$H24*'FE Sectorial'!I24*'FE Sectorial'!P24/1000</f>
        <v>200214.96710526315</v>
      </c>
      <c r="I25" s="17">
        <f>'Datos Actividad'!$X21*'FE Sectorial'!$H24*'FE Sectorial'!J24/1000/1000</f>
        <v>2.0953947368421049</v>
      </c>
      <c r="J25" s="17">
        <f>'Datos Actividad'!$X21*'FE Sectorial'!$H24*'FE Sectorial'!K24/1000/1000</f>
        <v>3.1430921052631584</v>
      </c>
      <c r="K25" s="17">
        <f>'Datos Actividad'!$X21*'FE Sectorial'!$H24*'FE Sectorial'!L24/1000/1000</f>
        <v>628.61842105263145</v>
      </c>
      <c r="L25" s="17">
        <f>'Datos Actividad'!$X21*'FE Sectorial'!$H24*'FE Sectorial'!M24/1000/1000</f>
        <v>41.90789473684211</v>
      </c>
      <c r="M25" s="17">
        <f>'Datos Actividad'!$X21*'FE Sectorial'!$H24*'FE Sectorial'!N24/1000/1000</f>
        <v>10.476973684210527</v>
      </c>
      <c r="N25" s="17">
        <f>'Datos Actividad'!$X21*'FE Sectorial'!$H24*'FE Sectorial'!O24/1000/1000</f>
        <v>0</v>
      </c>
      <c r="O25" s="87">
        <f>IF(D25&lt;400,H25+I25*'Factores generales'!$M$41+J25*'Factores generales'!$N$41,I25*'Factores generales'!$M$41+J25*'Factores generales'!$N$41)</f>
        <v>201233.3289473684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3331731.0588803999</v>
      </c>
      <c r="I26" s="134">
        <f t="shared" ref="I26:O26" si="6">I27+I28</f>
        <v>59.783917200000005</v>
      </c>
      <c r="J26" s="134">
        <f t="shared" si="6"/>
        <v>8.6952847200000019</v>
      </c>
      <c r="K26" s="134">
        <f t="shared" si="6"/>
        <v>9047.4400800000003</v>
      </c>
      <c r="L26" s="134">
        <f t="shared" si="6"/>
        <v>1161.986394</v>
      </c>
      <c r="M26" s="134">
        <f t="shared" si="6"/>
        <v>291.43248600000004</v>
      </c>
      <c r="N26" s="134">
        <f t="shared" si="6"/>
        <v>2164.5</v>
      </c>
      <c r="O26" s="134">
        <f t="shared" si="6"/>
        <v>3335682.0594048006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3331731.0588803999</v>
      </c>
      <c r="I28" s="15">
        <f t="shared" si="7"/>
        <v>59.783917200000005</v>
      </c>
      <c r="J28" s="15">
        <f t="shared" si="7"/>
        <v>8.6952847200000019</v>
      </c>
      <c r="K28" s="15">
        <f t="shared" si="7"/>
        <v>9047.4400800000003</v>
      </c>
      <c r="L28" s="15">
        <f t="shared" si="7"/>
        <v>1161.986394</v>
      </c>
      <c r="M28" s="15">
        <f t="shared" si="7"/>
        <v>291.43248600000004</v>
      </c>
      <c r="N28" s="15">
        <f t="shared" si="7"/>
        <v>2164.5</v>
      </c>
      <c r="O28" s="15">
        <f t="shared" si="7"/>
        <v>3335682.0594048006</v>
      </c>
    </row>
    <row r="29" spans="1:15" outlineLevel="1" x14ac:dyDescent="0.25">
      <c r="B29" s="1" t="s">
        <v>7</v>
      </c>
      <c r="G29" s="1"/>
      <c r="H29" s="95">
        <f t="shared" ref="H29:O29" si="8">H30+H31</f>
        <v>165038.78159999999</v>
      </c>
      <c r="I29" s="95">
        <f t="shared" si="8"/>
        <v>1.7802</v>
      </c>
      <c r="J29" s="95">
        <f t="shared" si="8"/>
        <v>2.6703000000000006</v>
      </c>
      <c r="K29" s="95">
        <f t="shared" si="8"/>
        <v>534.05999999999995</v>
      </c>
      <c r="L29" s="95">
        <f t="shared" si="8"/>
        <v>35.603999999999999</v>
      </c>
      <c r="M29" s="95">
        <f t="shared" si="8"/>
        <v>8.9009999999999998</v>
      </c>
      <c r="N29" s="95">
        <f t="shared" si="8"/>
        <v>1704.3</v>
      </c>
      <c r="O29" s="95">
        <f t="shared" si="8"/>
        <v>165903.95879999999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Actividad'!$X26*'FE Sectorial'!$H29*'FE Sectorial'!I29*'FE Sectorial'!P29/1000</f>
        <v>165038.78159999999</v>
      </c>
      <c r="I30" s="17">
        <f>'Datos Actividad'!$X26*'FE Sectorial'!$H29*'FE Sectorial'!J29/1000/1000</f>
        <v>1.7802</v>
      </c>
      <c r="J30" s="17">
        <f>'Datos Actividad'!$X26*'FE Sectorial'!$H29*'FE Sectorial'!K29/1000/1000</f>
        <v>2.6703000000000006</v>
      </c>
      <c r="K30" s="17">
        <f>'Datos Actividad'!$X26*'FE Sectorial'!$H29*'FE Sectorial'!L29/1000/1000</f>
        <v>534.05999999999995</v>
      </c>
      <c r="L30" s="17">
        <f>'Datos Actividad'!$X26*'FE Sectorial'!$H29*'FE Sectorial'!M29/1000/1000</f>
        <v>35.603999999999999</v>
      </c>
      <c r="M30" s="17">
        <f>'Datos Actividad'!$X26*'FE Sectorial'!$H29*'FE Sectorial'!N29/1000/1000</f>
        <v>8.9009999999999998</v>
      </c>
      <c r="N30" s="17">
        <f>'Datos Actividad'!$X26*'FE Sectorial'!$H29*'FE Sectorial'!O29/1000/1000</f>
        <v>1704.3</v>
      </c>
      <c r="O30" s="87">
        <f>IF(D30&lt;400,H30+I30*'Factores generales'!$M$41+J30*'Factores generales'!$N$41,I30*'Factores generales'!$M$41+J30*'Factores generales'!$N$41)</f>
        <v>165903.95879999999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Actividad'!$X27*'FE Sectorial'!$H30*'FE Sectorial'!I30*'FE Sectorial'!P30/1000</f>
        <v>0</v>
      </c>
      <c r="I31" s="17">
        <f>'Datos Actividad'!$X27*'FE Sectorial'!$H30*'FE Sectorial'!J30/1000/1000</f>
        <v>0</v>
      </c>
      <c r="J31" s="17">
        <f>'Datos Actividad'!$X27*'FE Sectorial'!$H30*'FE Sectorial'!K30/1000/1000</f>
        <v>0</v>
      </c>
      <c r="K31" s="17">
        <f>'Datos Actividad'!$X27*'FE Sectorial'!$H30*'FE Sectorial'!L30/1000/1000</f>
        <v>0</v>
      </c>
      <c r="L31" s="17">
        <f>'Datos Actividad'!$X27*'FE Sectorial'!$H30*'FE Sectorial'!M30/1000/1000</f>
        <v>0</v>
      </c>
      <c r="M31" s="17">
        <f>'Datos Actividad'!$X27*'FE Sectorial'!$H30*'FE Sectorial'!N30/1000/1000</f>
        <v>0</v>
      </c>
      <c r="N31" s="17">
        <f>'Datos Actividad'!$X27*'FE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3166692.2772804</v>
      </c>
      <c r="I32" s="17">
        <f t="shared" ref="I32:O32" si="9">I33+I34+I35</f>
        <v>58.003717200000004</v>
      </c>
      <c r="J32" s="17">
        <f t="shared" si="9"/>
        <v>6.0249847200000008</v>
      </c>
      <c r="K32" s="17">
        <f t="shared" si="9"/>
        <v>8513.3800800000008</v>
      </c>
      <c r="L32" s="17">
        <f t="shared" si="9"/>
        <v>1126.382394</v>
      </c>
      <c r="M32" s="17">
        <f t="shared" si="9"/>
        <v>282.53148600000003</v>
      </c>
      <c r="N32" s="17">
        <f t="shared" si="9"/>
        <v>460.2</v>
      </c>
      <c r="O32" s="17">
        <f t="shared" si="9"/>
        <v>3169778.1006048005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Actividad'!$X29*'FE Sectorial'!$H32*'FE Sectorial'!I32*'FE Sectorial'!P32/1000</f>
        <v>3112360.6387104001</v>
      </c>
      <c r="I33" s="17">
        <f>'Datos Actividad'!$X29*'FE Sectorial'!$H32*'FE Sectorial'!J32/1000/1000</f>
        <v>55.757587200000003</v>
      </c>
      <c r="J33" s="17">
        <f>'Datos Actividad'!$X29*'FE Sectorial'!$H32*'FE Sectorial'!K32/1000/1000</f>
        <v>5.5757587200000005</v>
      </c>
      <c r="K33" s="17">
        <f>'Datos Actividad'!$X29*'FE Sectorial'!$H32*'FE Sectorial'!L32/1000/1000</f>
        <v>8363.6380800000006</v>
      </c>
      <c r="L33" s="17">
        <f>'Datos Actividad'!$X29*'FE Sectorial'!$H32*'FE Sectorial'!M32/1000/1000</f>
        <v>1115.151744</v>
      </c>
      <c r="M33" s="17">
        <f>'Datos Actividad'!$X29*'FE Sectorial'!$H32*'FE Sectorial'!N32/1000/1000</f>
        <v>278.787936</v>
      </c>
      <c r="N33" s="17">
        <f>'Datos Actividad'!$X29*'FE Sectorial'!$H32*'FE Sectorial'!O32/1000/1000</f>
        <v>0</v>
      </c>
      <c r="O33" s="87">
        <f>IF(D33&lt;400,H33+I33*'Factores generales'!$M$41+J33*'Factores generales'!$N$41,I33*'Factores generales'!$M$41+J33*'Factores generales'!$N$41)</f>
        <v>3115260.0332448003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Actividad'!$X30*'FE Sectorial'!$H33*'FE Sectorial'!I33*'FE Sectorial'!P33/1000</f>
        <v>0</v>
      </c>
      <c r="I34" s="17">
        <f>'Datos Actividad'!$X30*'FE Sectorial'!$H33*'FE Sectorial'!J33/1000/1000</f>
        <v>0</v>
      </c>
      <c r="J34" s="17">
        <f>'Datos Actividad'!$X30*'FE Sectorial'!$H33*'FE Sectorial'!K33/1000/1000</f>
        <v>0</v>
      </c>
      <c r="K34" s="17">
        <f>'Datos Actividad'!$X30*'FE Sectorial'!$H33*'FE Sectorial'!L33/1000/1000</f>
        <v>0</v>
      </c>
      <c r="L34" s="17">
        <f>'Datos Actividad'!$X30*'FE Sectorial'!$H33*'FE Sectorial'!M33/1000/1000</f>
        <v>0</v>
      </c>
      <c r="M34" s="17">
        <f>'Datos Actividad'!$X30*'FE Sectorial'!$H33*'FE Sectorial'!N33/1000/1000</f>
        <v>0</v>
      </c>
      <c r="N34" s="17">
        <f>'Datos Actividad'!$X30*'FE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Actividad'!$X31*'FE Sectorial'!$H34*'FE Sectorial'!I34*'FE Sectorial'!P34/1000</f>
        <v>54331.638570000003</v>
      </c>
      <c r="I35" s="17">
        <f>'Datos Actividad'!$X31*'FE Sectorial'!$H34*'FE Sectorial'!J34/1000/1000</f>
        <v>2.24613</v>
      </c>
      <c r="J35" s="17">
        <f>'Datos Actividad'!$X31*'FE Sectorial'!$H34*'FE Sectorial'!K34/1000/1000</f>
        <v>0.44922600000000001</v>
      </c>
      <c r="K35" s="17">
        <f>'Datos Actividad'!$X31*'FE Sectorial'!$H34*'FE Sectorial'!L34/1000/1000</f>
        <v>149.74199999999999</v>
      </c>
      <c r="L35" s="17">
        <f>'Datos Actividad'!$X31*'FE Sectorial'!$H34*'FE Sectorial'!M34/1000/1000</f>
        <v>11.230649999999999</v>
      </c>
      <c r="M35" s="17">
        <f>'Datos Actividad'!$X31*'FE Sectorial'!$H34*'FE Sectorial'!N34/1000/1000</f>
        <v>3.7435500000000004</v>
      </c>
      <c r="N35" s="17">
        <f>'Datos Actividad'!$X31*'FE Sectorial'!$H34*'FE Sectorial'!O34/1000/1000</f>
        <v>460.2</v>
      </c>
      <c r="O35" s="87">
        <f>IF(D35&lt;400,H35+I35*'Factores generales'!$M$41+J35*'Factores generales'!$N$41,I35*'Factores generales'!$M$41+J35*'Factores generales'!$N$41)</f>
        <v>54518.067360000001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16532132.79707877</v>
      </c>
      <c r="I36" s="129">
        <f t="shared" si="10"/>
        <v>2588.5545634883583</v>
      </c>
      <c r="J36" s="129">
        <f t="shared" si="10"/>
        <v>352.4403127593589</v>
      </c>
      <c r="K36" s="129">
        <f t="shared" si="10"/>
        <v>49096.288658405465</v>
      </c>
      <c r="L36" s="129">
        <f t="shared" si="10"/>
        <v>302469.24865425139</v>
      </c>
      <c r="M36" s="129">
        <f t="shared" si="10"/>
        <v>5100.244698921686</v>
      </c>
      <c r="N36" s="129">
        <f t="shared" si="10"/>
        <v>9561.6627970796708</v>
      </c>
      <c r="O36" s="129">
        <f t="shared" si="10"/>
        <v>16740695.156972688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1759038.9392347725</v>
      </c>
      <c r="I37" s="134">
        <f t="shared" ref="I37:O37" si="11">SUM(I38:I44)</f>
        <v>10.871799824714911</v>
      </c>
      <c r="J37" s="134">
        <f t="shared" si="11"/>
        <v>3.7233861228223688</v>
      </c>
      <c r="K37" s="134">
        <f t="shared" si="11"/>
        <v>1913.2206316019738</v>
      </c>
      <c r="L37" s="134">
        <f t="shared" si="11"/>
        <v>552.11452105723686</v>
      </c>
      <c r="M37" s="134">
        <f t="shared" si="11"/>
        <v>82.604064913048234</v>
      </c>
      <c r="N37" s="134">
        <f t="shared" si="11"/>
        <v>0</v>
      </c>
      <c r="O37" s="134">
        <f t="shared" si="11"/>
        <v>1760421.496729166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Actividad'!$X34*'FE Sectorial'!$H37*'FE Sectorial'!I37*'FE Sectorial'!P37/1000</f>
        <v>0</v>
      </c>
      <c r="I38" s="17">
        <f>'Datos Actividad'!$X34*'FE Sectorial'!$H37*'FE Sectorial'!J37/1000/1000</f>
        <v>0</v>
      </c>
      <c r="J38" s="17">
        <f>'Datos Actividad'!$X34*'FE Sectorial'!$H37*'FE Sectorial'!K37/1000/1000</f>
        <v>0</v>
      </c>
      <c r="K38" s="17">
        <f>'Datos Actividad'!$X34*'FE Sectorial'!$H37*'FE Sectorial'!L37/1000/1000</f>
        <v>0</v>
      </c>
      <c r="L38" s="17">
        <f>'Datos Actividad'!$X34*'FE Sectorial'!$H37*'FE Sectorial'!M37/1000/1000</f>
        <v>0</v>
      </c>
      <c r="M38" s="17">
        <f>'Datos Actividad'!$X34*'FE Sectorial'!$H37*'FE Sectorial'!N37/1000/1000</f>
        <v>0</v>
      </c>
      <c r="N38" s="17">
        <f>'Datos Actividad'!$X34*'FE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Actividad'!$X35*'FE Sectorial'!$H38*'FE Sectorial'!I38*'FE Sectorial'!P38/1000</f>
        <v>1425430.5425246251</v>
      </c>
      <c r="I39" s="17">
        <f>'Datos Actividad'!$X35*'FE Sectorial'!$H38*'FE Sectorial'!J38/1000/1000</f>
        <v>5.5099750387500004</v>
      </c>
      <c r="J39" s="17">
        <f>'Datos Actividad'!$X35*'FE Sectorial'!$H38*'FE Sectorial'!K38/1000/1000</f>
        <v>0.55099750387500002</v>
      </c>
      <c r="K39" s="17">
        <f>'Datos Actividad'!$X35*'FE Sectorial'!$H38*'FE Sectorial'!L38/1000/1000</f>
        <v>826.49625581250007</v>
      </c>
      <c r="L39" s="17">
        <f>'Datos Actividad'!$X35*'FE Sectorial'!$H38*'FE Sectorial'!M38/1000/1000</f>
        <v>165.29925116250004</v>
      </c>
      <c r="M39" s="17">
        <f>'Datos Actividad'!$X35*'FE Sectorial'!$H38*'FE Sectorial'!N38/1000/1000</f>
        <v>27.549875193750001</v>
      </c>
      <c r="N39" s="17">
        <f>'Datos Actividad'!$X35*'FE Sectorial'!$H38*'FE Sectorial'!O38/1000/1000</f>
        <v>0</v>
      </c>
      <c r="O39" s="87">
        <f>IF(D39&lt;400,H39+I39*'Factores generales'!$M$41+J39*'Factores generales'!$N$41,I39*'Factores generales'!$M$41+J39*'Factores generales'!$N$41)</f>
        <v>1425717.0612266399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Actividad'!$X36*'FE Sectorial'!$H39*'FE Sectorial'!I39*'FE Sectorial'!P39/1000</f>
        <v>153687.32763119999</v>
      </c>
      <c r="I40" s="17">
        <f>'Datos Actividad'!$X36*'FE Sectorial'!$H39*'FE Sectorial'!J39/1000/1000</f>
        <v>3.4788204</v>
      </c>
      <c r="J40" s="17">
        <f>'Datos Actividad'!$X36*'FE Sectorial'!$H39*'FE Sectorial'!K39/1000/1000</f>
        <v>0.34788204</v>
      </c>
      <c r="K40" s="17">
        <f>'Datos Actividad'!$X36*'FE Sectorial'!$H39*'FE Sectorial'!L39/1000/1000</f>
        <v>521.82305999999994</v>
      </c>
      <c r="L40" s="17">
        <f>'Datos Actividad'!$X36*'FE Sectorial'!$H39*'FE Sectorial'!M39/1000/1000</f>
        <v>104.36461199999999</v>
      </c>
      <c r="M40" s="17">
        <f>'Datos Actividad'!$X36*'FE Sectorial'!$H39*'FE Sectorial'!N39/1000/1000</f>
        <v>17.394102</v>
      </c>
      <c r="N40" s="17">
        <f>'Datos Actividad'!$X36*'FE Sectorial'!$H39*'FE Sectorial'!O39/1000/1000</f>
        <v>0</v>
      </c>
      <c r="O40" s="87">
        <f>IF(D40&lt;400,H40+I40*'Factores generales'!$M$41+J40*'Factores generales'!$N$41,I40*'Factores generales'!$M$41+J40*'Factores generales'!$N$41)</f>
        <v>153868.22629199998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Actividad'!$X37*'FE Sectorial'!$H40*'FE Sectorial'!I40*'FE Sectorial'!P40/1000</f>
        <v>0</v>
      </c>
      <c r="I41" s="17">
        <f>'Datos Actividad'!$X37*'FE Sectorial'!$H40*'FE Sectorial'!J40/1000/1000</f>
        <v>0</v>
      </c>
      <c r="J41" s="17">
        <f>'Datos Actividad'!$X37*'FE Sectorial'!$H40*'FE Sectorial'!K40/1000/1000</f>
        <v>0</v>
      </c>
      <c r="K41" s="17">
        <f>'Datos Actividad'!$X37*'FE Sectorial'!$H40*'FE Sectorial'!L40/1000/1000</f>
        <v>0</v>
      </c>
      <c r="L41" s="17">
        <f>'Datos Actividad'!$X37*'FE Sectorial'!$H40*'FE Sectorial'!M40/1000/1000</f>
        <v>0</v>
      </c>
      <c r="M41" s="17">
        <f>'Datos Actividad'!$X37*'FE Sectorial'!$H40*'FE Sectorial'!N40/1000/1000</f>
        <v>0</v>
      </c>
      <c r="N41" s="17">
        <f>'Datos Actividad'!$X37*'FE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Actividad'!$X38*'FE Sectorial'!$H41*'FE Sectorial'!I41*'FE Sectorial'!P41/1000</f>
        <v>0</v>
      </c>
      <c r="I42" s="17">
        <f>'Datos Actividad'!$X38*'FE Sectorial'!$H41*'FE Sectorial'!J41/1000/1000</f>
        <v>0</v>
      </c>
      <c r="J42" s="17">
        <f>'Datos Actividad'!$X38*'FE Sectorial'!$H41*'FE Sectorial'!K41/1000/1000</f>
        <v>0</v>
      </c>
      <c r="K42" s="17">
        <f>'Datos Actividad'!$X38*'FE Sectorial'!$H41*'FE Sectorial'!L41/1000/1000</f>
        <v>0</v>
      </c>
      <c r="L42" s="17">
        <f>'Datos Actividad'!$X38*'FE Sectorial'!$H41*'FE Sectorial'!M41/1000/1000</f>
        <v>0</v>
      </c>
      <c r="M42" s="17">
        <f>'Datos Actividad'!$X38*'FE Sectorial'!$H41*'FE Sectorial'!N41/1000/1000</f>
        <v>0</v>
      </c>
      <c r="N42" s="17">
        <f>'Datos Actividad'!$X38*'FE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Actividad'!$X39*'FE Sectorial'!$H42*'FE Sectorial'!I42*'FE Sectorial'!P42/1000</f>
        <v>91935.444078947345</v>
      </c>
      <c r="I43" s="17">
        <f>'Datos Actividad'!$X39*'FE Sectorial'!$H42*'FE Sectorial'!J42/1000/1000</f>
        <v>0.96217105263157887</v>
      </c>
      <c r="J43" s="17">
        <f>'Datos Actividad'!$X39*'FE Sectorial'!$H42*'FE Sectorial'!K42/1000/1000</f>
        <v>1.4432565789473686</v>
      </c>
      <c r="K43" s="17">
        <f>'Datos Actividad'!$X39*'FE Sectorial'!$H42*'FE Sectorial'!L42/1000/1000</f>
        <v>288.65131578947364</v>
      </c>
      <c r="L43" s="17">
        <f>'Datos Actividad'!$X39*'FE Sectorial'!$H42*'FE Sectorial'!M42/1000/1000</f>
        <v>144.32565789473682</v>
      </c>
      <c r="M43" s="17">
        <f>'Datos Actividad'!$X39*'FE Sectorial'!$H42*'FE Sectorial'!N42/1000/1000</f>
        <v>19.243421052631579</v>
      </c>
      <c r="N43" s="17">
        <f>'Datos Actividad'!$X39*'FE Sectorial'!$H42*'FE Sectorial'!O42/1000/1000</f>
        <v>0</v>
      </c>
      <c r="O43" s="87">
        <f>IF(D43&lt;400,H43+I43*'Factores generales'!$M$41+J43*'Factores generales'!$N$41,I43*'Factores generales'!$M$41+J43*'Factores generales'!$N$41)</f>
        <v>92403.059210526291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Actividad'!$X40*'FE Sectorial'!$H43*'FE Sectorial'!I43*'FE Sectorial'!P43/1000</f>
        <v>87985.624999999985</v>
      </c>
      <c r="I44" s="17">
        <f>'Datos Actividad'!$X40*'FE Sectorial'!$H43*'FE Sectorial'!J43/1000/1000</f>
        <v>0.92083333333333328</v>
      </c>
      <c r="J44" s="17">
        <f>'Datos Actividad'!$X40*'FE Sectorial'!$H43*'FE Sectorial'!K43/1000/1000</f>
        <v>1.3812500000000001</v>
      </c>
      <c r="K44" s="17">
        <f>'Datos Actividad'!$X40*'FE Sectorial'!$H43*'FE Sectorial'!L43/1000/1000</f>
        <v>276.25</v>
      </c>
      <c r="L44" s="17">
        <f>'Datos Actividad'!$X40*'FE Sectorial'!$H43*'FE Sectorial'!M43/1000/1000</f>
        <v>138.125</v>
      </c>
      <c r="M44" s="17">
        <f>'Datos Actividad'!$X40*'FE Sectorial'!$H43*'FE Sectorial'!N43/1000/1000</f>
        <v>18.416666666666664</v>
      </c>
      <c r="N44" s="17">
        <f>'Datos Actividad'!$X40*'FE Sectorial'!$H43*'FE Sectorial'!O43/1000/1000</f>
        <v>0</v>
      </c>
      <c r="O44" s="87">
        <f>IF(D44&lt;400,H44+I44*'Factores generales'!$M$41+J44*'Factores generales'!$N$41,I44*'Factores generales'!$M$41+J44*'Factores generales'!$N$41)</f>
        <v>88433.14999999998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Actividad'!$X42*'FE Sectorial'!$H45*'FE Sectorial'!I45*'FE Sectorial'!P45/1000</f>
        <v>0</v>
      </c>
      <c r="I46" s="17">
        <f>'Datos Actividad'!$X42*'FE Sectorial'!$H45*'FE Sectorial'!J45/1000/1000</f>
        <v>0</v>
      </c>
      <c r="J46" s="17">
        <f>'Datos Actividad'!$X42*'FE Sectorial'!$H45*'FE Sectorial'!K45/1000/1000</f>
        <v>0</v>
      </c>
      <c r="K46" s="17">
        <f>'Datos Actividad'!$X42*'FE Sectorial'!$H45*'FE Sectorial'!L45/1000/1000</f>
        <v>0</v>
      </c>
      <c r="L46" s="17">
        <f>'Datos Actividad'!$X42*'FE Sectorial'!$H45*'FE Sectorial'!M45/1000/1000</f>
        <v>0</v>
      </c>
      <c r="M46" s="17">
        <f>'Datos Actividad'!$X42*'FE Sectorial'!$H45*'FE Sectorial'!N45/1000/1000</f>
        <v>0</v>
      </c>
      <c r="N46" s="17">
        <f>'Datos Actividad'!$X42*'FE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78493.020503039996</v>
      </c>
      <c r="I47" s="134">
        <f t="shared" ref="I47:O47" si="13">SUM(I48:I55)</f>
        <v>233.54458990707235</v>
      </c>
      <c r="J47" s="134">
        <f t="shared" si="13"/>
        <v>31.736498997293854</v>
      </c>
      <c r="K47" s="134">
        <f t="shared" si="13"/>
        <v>1118.903246553399</v>
      </c>
      <c r="L47" s="134">
        <f t="shared" si="13"/>
        <v>31005.595928157014</v>
      </c>
      <c r="M47" s="134">
        <f t="shared" si="13"/>
        <v>402.43013308722584</v>
      </c>
      <c r="N47" s="134">
        <f t="shared" si="13"/>
        <v>0</v>
      </c>
      <c r="O47" s="134">
        <f t="shared" si="13"/>
        <v>138181.98868551277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Actividad'!$X44*'FE Sectorial'!$H47*'FE Sectorial'!I47*'FE Sectorial'!P47/1000</f>
        <v>0</v>
      </c>
      <c r="I48" s="17">
        <f>'Datos Actividad'!$X44*'FE Sectorial'!$H47*'FE Sectorial'!J47/1000/1000</f>
        <v>0</v>
      </c>
      <c r="J48" s="17">
        <f>'Datos Actividad'!$X44*'FE Sectorial'!$H47*'FE Sectorial'!K47/1000/1000</f>
        <v>0</v>
      </c>
      <c r="K48" s="17">
        <f>'Datos Actividad'!$X44*'FE Sectorial'!$H47*'FE Sectorial'!L47/1000/1000</f>
        <v>0</v>
      </c>
      <c r="L48" s="17">
        <f>'Datos Actividad'!$X44*'FE Sectorial'!$H47*'FE Sectorial'!M47/1000/1000</f>
        <v>0</v>
      </c>
      <c r="M48" s="17">
        <f>'Datos Actividad'!$X44*'FE Sectorial'!$H47*'FE Sectorial'!N47/1000/1000</f>
        <v>0</v>
      </c>
      <c r="N48" s="17">
        <f>'Datos Actividad'!$X44*'FE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Actividad'!$X45*'FE Sectorial'!$H48*'FE Sectorial'!I48*'FE Sectorial'!P48/1000</f>
        <v>78493.020503039996</v>
      </c>
      <c r="I49" s="17">
        <f>'Datos Actividad'!$X45*'FE Sectorial'!$H48*'FE Sectorial'!J48/1000/1000</f>
        <v>1.3695739199999999</v>
      </c>
      <c r="J49" s="17">
        <f>'Datos Actividad'!$X45*'FE Sectorial'!$H48*'FE Sectorial'!K48/1000/1000</f>
        <v>0.13695739200000001</v>
      </c>
      <c r="K49" s="17">
        <f>'Datos Actividad'!$X45*'FE Sectorial'!$H48*'FE Sectorial'!L48/1000/1000</f>
        <v>205.43608799999998</v>
      </c>
      <c r="L49" s="17">
        <f>'Datos Actividad'!$X45*'FE Sectorial'!$H48*'FE Sectorial'!M48/1000/1000</f>
        <v>41.087217599999995</v>
      </c>
      <c r="M49" s="17">
        <f>'Datos Actividad'!$X45*'FE Sectorial'!$H48*'FE Sectorial'!N48/1000/1000</f>
        <v>6.8478696000000001</v>
      </c>
      <c r="N49" s="17">
        <f>'Datos Actividad'!$X45*'FE Sectorial'!$H48*'FE Sectorial'!O48/1000/1000</f>
        <v>0</v>
      </c>
      <c r="O49" s="87">
        <f>IF(D49&lt;400,H49+I49*'Factores generales'!$M$41+J49*'Factores generales'!$N$41,I49*'Factores generales'!$M$41+J49*'Factores generales'!$N$41)</f>
        <v>78564.238346879996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Actividad'!$X46*'FE Sectorial'!$H49*'FE Sectorial'!I49*'FE Sectorial'!P49/1000</f>
        <v>0</v>
      </c>
      <c r="I50" s="17">
        <f>'Datos Actividad'!$X46*'FE Sectorial'!$H49*'FE Sectorial'!J49/1000/1000</f>
        <v>0</v>
      </c>
      <c r="J50" s="17">
        <f>'Datos Actividad'!$X46*'FE Sectorial'!$H49*'FE Sectorial'!K49/1000/1000</f>
        <v>0</v>
      </c>
      <c r="K50" s="17">
        <f>'Datos Actividad'!$X46*'FE Sectorial'!$H49*'FE Sectorial'!L49/1000/1000</f>
        <v>0</v>
      </c>
      <c r="L50" s="17">
        <f>'Datos Actividad'!$X46*'FE Sectorial'!$H49*'FE Sectorial'!M49/1000/1000</f>
        <v>0</v>
      </c>
      <c r="M50" s="17">
        <f>'Datos Actividad'!$X46*'FE Sectorial'!$H49*'FE Sectorial'!N49/1000/1000</f>
        <v>0</v>
      </c>
      <c r="N50" s="17">
        <f>'Datos Actividad'!$X46*'FE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Actividad'!$X47*'FE Sectorial'!$H50*'FE Sectorial'!I50*'FE Sectorial'!P50/1000</f>
        <v>0</v>
      </c>
      <c r="I51" s="17">
        <f>'Datos Actividad'!$X47*'FE Sectorial'!$H50*'FE Sectorial'!J50/1000/1000</f>
        <v>0</v>
      </c>
      <c r="J51" s="17">
        <f>'Datos Actividad'!$X47*'FE Sectorial'!$H50*'FE Sectorial'!K50/1000/1000</f>
        <v>0</v>
      </c>
      <c r="K51" s="17">
        <f>'Datos Actividad'!$X47*'FE Sectorial'!$H50*'FE Sectorial'!L50/1000/1000</f>
        <v>0</v>
      </c>
      <c r="L51" s="17">
        <f>'Datos Actividad'!$X47*'FE Sectorial'!$H50*'FE Sectorial'!M50/1000/1000</f>
        <v>0</v>
      </c>
      <c r="M51" s="17">
        <f>'Datos Actividad'!$X47*'FE Sectorial'!$H50*'FE Sectorial'!N50/1000/1000</f>
        <v>0</v>
      </c>
      <c r="N51" s="17">
        <f>'Datos Actividad'!$X47*'FE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Actividad'!$X48*'FE Sectorial'!$H51*'FE Sectorial'!I51*'FE Sectorial'!P51/1000</f>
        <v>0</v>
      </c>
      <c r="I52" s="17">
        <f>'Datos Actividad'!$X48*'FE Sectorial'!$H51*'FE Sectorial'!J51/1000/1000</f>
        <v>0</v>
      </c>
      <c r="J52" s="17">
        <f>'Datos Actividad'!$X48*'FE Sectorial'!$H51*'FE Sectorial'!K51/1000/1000</f>
        <v>0</v>
      </c>
      <c r="K52" s="17">
        <f>'Datos Actividad'!$X48*'FE Sectorial'!$H51*'FE Sectorial'!L51/1000/1000</f>
        <v>0</v>
      </c>
      <c r="L52" s="17">
        <f>'Datos Actividad'!$X48*'FE Sectorial'!$H51*'FE Sectorial'!M51/1000/1000</f>
        <v>0</v>
      </c>
      <c r="M52" s="17">
        <f>'Datos Actividad'!$X48*'FE Sectorial'!$H51*'FE Sectorial'!N51/1000/1000</f>
        <v>0</v>
      </c>
      <c r="N52" s="17">
        <f>'Datos Actividad'!$X48*'FE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Actividad'!$X49*'FE Sectorial'!$H52*'FE Sectorial'!I52*'FE Sectorial'!P52/1000</f>
        <v>671943.4016256677</v>
      </c>
      <c r="I53" s="17">
        <f>'Datos Actividad'!$X49*'FE Sectorial'!$H52*'FE Sectorial'!J52/1000/1000</f>
        <v>231.70462125023025</v>
      </c>
      <c r="J53" s="17">
        <f>'Datos Actividad'!$X49*'FE Sectorial'!$H52*'FE Sectorial'!K52/1000/1000</f>
        <v>30.893949500030697</v>
      </c>
      <c r="K53" s="17">
        <f>'Datos Actividad'!$X49*'FE Sectorial'!$H52*'FE Sectorial'!L52/1000/1000</f>
        <v>772.34873750076747</v>
      </c>
      <c r="L53" s="17">
        <f>'Datos Actividad'!$X49*'FE Sectorial'!$H52*'FE Sectorial'!M52/1000/1000</f>
        <v>30893.949500030696</v>
      </c>
      <c r="M53" s="17">
        <f>'Datos Actividad'!$X49*'FE Sectorial'!$H52*'FE Sectorial'!N52/1000/1000</f>
        <v>386.17436875038374</v>
      </c>
      <c r="N53" s="17">
        <f>'Datos Actividad'!$X49*'FE Sectorial'!$H52*'FE Sectorial'!O52/1000/1000</f>
        <v>0</v>
      </c>
      <c r="O53" s="87">
        <f>IF(D53&lt;400,H53+I53*'Factores generales'!$M$41+J53*'Factores generales'!$N$41,I53*'Factores generales'!$M$41+J53*'Factores generales'!$N$41)</f>
        <v>14442.92139126435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Actividad'!$X50*'FE Sectorial'!$H53*'FE Sectorial'!I53*'FE Sectorial'!P53/1000</f>
        <v>44946.21710526316</v>
      </c>
      <c r="I54" s="17">
        <f>'Datos Actividad'!$X50*'FE Sectorial'!$H53*'FE Sectorial'!J53/1000/1000</f>
        <v>0.4703947368421052</v>
      </c>
      <c r="J54" s="17">
        <f>'Datos Actividad'!$X50*'FE Sectorial'!$H53*'FE Sectorial'!K53/1000/1000</f>
        <v>0.70559210526315808</v>
      </c>
      <c r="K54" s="17">
        <f>'Datos Actividad'!$X50*'FE Sectorial'!$H53*'FE Sectorial'!L53/1000/1000</f>
        <v>141.11842105263153</v>
      </c>
      <c r="L54" s="17">
        <f>'Datos Actividad'!$X50*'FE Sectorial'!$H53*'FE Sectorial'!M53/1000/1000</f>
        <v>70.559210526315766</v>
      </c>
      <c r="M54" s="17">
        <f>'Datos Actividad'!$X50*'FE Sectorial'!$H53*'FE Sectorial'!N53/1000/1000</f>
        <v>9.4078947368421044</v>
      </c>
      <c r="N54" s="17">
        <f>'Datos Actividad'!$X50*'FE Sectorial'!$H53*'FE Sectorial'!O53/1000/1000</f>
        <v>0</v>
      </c>
      <c r="O54" s="87">
        <f>IF(D54&lt;400,H54+I54*'Factores generales'!$M$41+J54*'Factores generales'!$N$41,I54*'Factores generales'!$M$41+J54*'Factores generales'!$N$41)</f>
        <v>45174.828947368427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Actividad'!$X51*'FE Sectorial'!$H54*'FE Sectorial'!I54*'FE Sectorial'!P54/1000</f>
        <v>0</v>
      </c>
      <c r="I55" s="17">
        <f>'Datos Actividad'!$X51*'FE Sectorial'!$H54*'FE Sectorial'!J54/1000/1000</f>
        <v>0</v>
      </c>
      <c r="J55" s="17">
        <f>'Datos Actividad'!$X51*'FE Sectorial'!$H54*'FE Sectorial'!K54/1000/1000</f>
        <v>0</v>
      </c>
      <c r="K55" s="17">
        <f>'Datos Actividad'!$X51*'FE Sectorial'!$H54*'FE Sectorial'!L54/1000/1000</f>
        <v>0</v>
      </c>
      <c r="L55" s="17">
        <f>'Datos Actividad'!$X51*'FE Sectorial'!$H54*'FE Sectorial'!M54/1000/1000</f>
        <v>0</v>
      </c>
      <c r="M55" s="17">
        <f>'Datos Actividad'!$X51*'FE Sectorial'!$H54*'FE Sectorial'!N54/1000/1000</f>
        <v>0</v>
      </c>
      <c r="N55" s="17">
        <f>'Datos Actividad'!$X51*'FE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491.90085599451464</v>
      </c>
      <c r="J56" s="134">
        <f t="shared" ref="J56:O56" si="14">SUM(J57:J62)</f>
        <v>65.58678079926861</v>
      </c>
      <c r="K56" s="134">
        <f t="shared" si="14"/>
        <v>1639.6695199817154</v>
      </c>
      <c r="L56" s="134">
        <f t="shared" si="14"/>
        <v>61386.012799268618</v>
      </c>
      <c r="M56" s="134">
        <f t="shared" si="14"/>
        <v>819.83475999085772</v>
      </c>
      <c r="N56" s="134">
        <f t="shared" si="14"/>
        <v>538.55999999999995</v>
      </c>
      <c r="O56" s="134">
        <f t="shared" si="14"/>
        <v>30661.820023658078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Actividad'!$X53*'FE Sectorial'!$H56*'FE Sectorial'!I56*'FE Sectorial'!P56/1000</f>
        <v>0</v>
      </c>
      <c r="I57" s="17">
        <f>'Datos Actividad'!$X53*'FE Sectorial'!$H56*'FE Sectorial'!J56/1000/1000</f>
        <v>0</v>
      </c>
      <c r="J57" s="17">
        <f>'Datos Actividad'!$X53*'FE Sectorial'!$H56*'FE Sectorial'!K56/1000/1000</f>
        <v>0</v>
      </c>
      <c r="K57" s="17">
        <f>'Datos Actividad'!$X53*'FE Sectorial'!$H56*'FE Sectorial'!L56/1000/1000</f>
        <v>0</v>
      </c>
      <c r="L57" s="17">
        <f>'Datos Actividad'!$X53*'FE Sectorial'!$H56*'FE Sectorial'!M56/1000/1000</f>
        <v>0</v>
      </c>
      <c r="M57" s="17">
        <f>'Datos Actividad'!$X53*'FE Sectorial'!$H56*'FE Sectorial'!N56/1000/1000</f>
        <v>0</v>
      </c>
      <c r="N57" s="17">
        <f>'Datos Actividad'!$X53*'FE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Actividad'!$X54*'FE Sectorial'!$H57*'FE Sectorial'!I57*'FE Sectorial'!P57/1000</f>
        <v>0</v>
      </c>
      <c r="I58" s="17">
        <f>'Datos Actividad'!$X54*'FE Sectorial'!$H57*'FE Sectorial'!J57/1000/1000</f>
        <v>0</v>
      </c>
      <c r="J58" s="17">
        <f>'Datos Actividad'!$X54*'FE Sectorial'!$H57*'FE Sectorial'!K57/1000/1000</f>
        <v>0</v>
      </c>
      <c r="K58" s="17">
        <f>'Datos Actividad'!$X54*'FE Sectorial'!$H57*'FE Sectorial'!L57/1000/1000</f>
        <v>0</v>
      </c>
      <c r="L58" s="17">
        <f>'Datos Actividad'!$X54*'FE Sectorial'!$H57*'FE Sectorial'!M57/1000/1000</f>
        <v>0</v>
      </c>
      <c r="M58" s="17">
        <f>'Datos Actividad'!$X54*'FE Sectorial'!$H57*'FE Sectorial'!N57/1000/1000</f>
        <v>0</v>
      </c>
      <c r="N58" s="17">
        <f>'Datos Actividad'!$X54*'FE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Actividad'!$X55*'FE Sectorial'!$H58*'FE Sectorial'!I58*'FE Sectorial'!P58/1000</f>
        <v>0</v>
      </c>
      <c r="I59" s="17">
        <f>'Datos Actividad'!$X55*'FE Sectorial'!$H58*'FE Sectorial'!J58/1000/1000</f>
        <v>0</v>
      </c>
      <c r="J59" s="17">
        <f>'Datos Actividad'!$X55*'FE Sectorial'!$H58*'FE Sectorial'!K58/1000/1000</f>
        <v>0</v>
      </c>
      <c r="K59" s="17">
        <f>'Datos Actividad'!$X55*'FE Sectorial'!$H58*'FE Sectorial'!L58/1000/1000</f>
        <v>0</v>
      </c>
      <c r="L59" s="17">
        <f>'Datos Actividad'!$X55*'FE Sectorial'!$H58*'FE Sectorial'!M58/1000/1000</f>
        <v>0</v>
      </c>
      <c r="M59" s="17">
        <f>'Datos Actividad'!$X55*'FE Sectorial'!$H58*'FE Sectorial'!N58/1000/1000</f>
        <v>0</v>
      </c>
      <c r="N59" s="17">
        <f>'Datos Actividad'!$X55*'FE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Actividad'!$X56*'FE Sectorial'!$H59*'FE Sectorial'!I59*'FE Sectorial'!P59/1000</f>
        <v>541052.30399999977</v>
      </c>
      <c r="I60" s="17">
        <f>'Datos Actividad'!$X56*'FE Sectorial'!$H59*'FE Sectorial'!J59/1000/1000</f>
        <v>186.56975999999995</v>
      </c>
      <c r="J60" s="17">
        <f>'Datos Actividad'!$X56*'FE Sectorial'!$H59*'FE Sectorial'!K59/1000/1000</f>
        <v>24.875967999999993</v>
      </c>
      <c r="K60" s="17">
        <f>'Datos Actividad'!$X56*'FE Sectorial'!$H59*'FE Sectorial'!L59/1000/1000</f>
        <v>621.89919999999972</v>
      </c>
      <c r="L60" s="17">
        <f>'Datos Actividad'!$X56*'FE Sectorial'!$H59*'FE Sectorial'!M59/1000/1000</f>
        <v>24875.967999999993</v>
      </c>
      <c r="M60" s="17">
        <f>'Datos Actividad'!$X56*'FE Sectorial'!$H59*'FE Sectorial'!N59/1000/1000</f>
        <v>310.94959999999986</v>
      </c>
      <c r="N60" s="17">
        <f>'Datos Actividad'!$X56*'FE Sectorial'!$H59*'FE Sectorial'!O59/1000/1000</f>
        <v>0</v>
      </c>
      <c r="O60" s="87">
        <f>IF(D60&lt;400,H60+I60*'Factores generales'!$M$41+J60*'Factores generales'!$N$41,I60*'Factores generales'!$M$41+J60*'Factores generales'!$N$41)</f>
        <v>11629.515039999997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Actividad'!$X57*'FE Sectorial'!$H60*'FE Sectorial'!I60*'FE Sectorial'!P60/1000</f>
        <v>204661.41696</v>
      </c>
      <c r="I61" s="17">
        <f>'Datos Actividad'!$X57*'FE Sectorial'!$H60*'FE Sectorial'!J60/1000/1000</f>
        <v>63.011519999999997</v>
      </c>
      <c r="J61" s="17">
        <f>'Datos Actividad'!$X57*'FE Sectorial'!$H60*'FE Sectorial'!K60/1000/1000</f>
        <v>8.4015360000000001</v>
      </c>
      <c r="K61" s="17">
        <f>'Datos Actividad'!$X57*'FE Sectorial'!$H60*'FE Sectorial'!L60/1000/1000</f>
        <v>210.0384</v>
      </c>
      <c r="L61" s="17">
        <f>'Datos Actividad'!$X57*'FE Sectorial'!$H60*'FE Sectorial'!M60/1000/1000</f>
        <v>4200.768</v>
      </c>
      <c r="M61" s="17">
        <f>'Datos Actividad'!$X57*'FE Sectorial'!$H60*'FE Sectorial'!N60/1000/1000</f>
        <v>105.0192</v>
      </c>
      <c r="N61" s="17">
        <f>'Datos Actividad'!$X57*'FE Sectorial'!$H60*'FE Sectorial'!O60/1000/1000</f>
        <v>538.55999999999995</v>
      </c>
      <c r="O61" s="87">
        <f>IF(D61&lt;400,H61+I61*'Factores generales'!$M$41+J61*'Factores generales'!$N$41,I61*'Factores generales'!$M$41+J61*'Factores generales'!$N$41)</f>
        <v>3927.7180800000001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Actividad'!$X58*'FE Sectorial'!$H61*'FE Sectorial'!I61*'FE Sectorial'!P61/1000</f>
        <v>702726.7703840927</v>
      </c>
      <c r="I62" s="17">
        <f>'Datos Actividad'!$X58*'FE Sectorial'!$H61*'FE Sectorial'!J61/1000/1000</f>
        <v>242.31957599451471</v>
      </c>
      <c r="J62" s="17">
        <f>'Datos Actividad'!$X58*'FE Sectorial'!$H61*'FE Sectorial'!K61/1000/1000</f>
        <v>32.309276799268623</v>
      </c>
      <c r="K62" s="17">
        <f>'Datos Actividad'!$X58*'FE Sectorial'!$H61*'FE Sectorial'!L61/1000/1000</f>
        <v>807.73191998171569</v>
      </c>
      <c r="L62" s="17">
        <f>'Datos Actividad'!$X58*'FE Sectorial'!$H61*'FE Sectorial'!M61/1000/1000</f>
        <v>32309.276799268624</v>
      </c>
      <c r="M62" s="17">
        <f>'Datos Actividad'!$X58*'FE Sectorial'!$H61*'FE Sectorial'!N61/1000/1000</f>
        <v>403.86595999085785</v>
      </c>
      <c r="N62" s="17">
        <f>'Datos Actividad'!$X58*'FE Sectorial'!$H61*'FE Sectorial'!O61/1000/1000</f>
        <v>0</v>
      </c>
      <c r="O62" s="87">
        <f>IF(D62&lt;400,H62+I62*'Factores generales'!$M$41+J62*'Factores generales'!$N$41,I62*'Factores generales'!$M$41+J62*'Factores generales'!$N$41)</f>
        <v>15104.586903658081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1293.3803099223046</v>
      </c>
      <c r="J63" s="134">
        <f t="shared" ref="J63:O63" si="15">SUM(J64:J69)</f>
        <v>172.45070798964068</v>
      </c>
      <c r="K63" s="134">
        <f t="shared" si="15"/>
        <v>4311.2676997410163</v>
      </c>
      <c r="L63" s="134">
        <f t="shared" si="15"/>
        <v>172408.27598964065</v>
      </c>
      <c r="M63" s="134">
        <f t="shared" si="15"/>
        <v>2155.6338498705081</v>
      </c>
      <c r="N63" s="134">
        <f t="shared" si="15"/>
        <v>5.44</v>
      </c>
      <c r="O63" s="134">
        <f t="shared" si="15"/>
        <v>80620.705985157008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Actividad'!$X60*'FE Sectorial'!$H63*'FE Sectorial'!I63*'FE Sectorial'!P63/1000</f>
        <v>0</v>
      </c>
      <c r="I64" s="17">
        <f>'Datos Actividad'!$X60*'FE Sectorial'!$H63*'FE Sectorial'!J63/1000/1000</f>
        <v>0</v>
      </c>
      <c r="J64" s="17">
        <f>'Datos Actividad'!$X60*'FE Sectorial'!$H63*'FE Sectorial'!K63/1000/1000</f>
        <v>0</v>
      </c>
      <c r="K64" s="17">
        <f>'Datos Actividad'!$X60*'FE Sectorial'!$H63*'FE Sectorial'!L63/1000/1000</f>
        <v>0</v>
      </c>
      <c r="L64" s="17">
        <f>'Datos Actividad'!$X60*'FE Sectorial'!$H63*'FE Sectorial'!M63/1000/1000</f>
        <v>0</v>
      </c>
      <c r="M64" s="17">
        <f>'Datos Actividad'!$X60*'FE Sectorial'!$H63*'FE Sectorial'!N63/1000/1000</f>
        <v>0</v>
      </c>
      <c r="N64" s="17">
        <f>'Datos Actividad'!$X60*'FE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Actividad'!$X61*'FE Sectorial'!$H64*'FE Sectorial'!I64*'FE Sectorial'!P64/1000</f>
        <v>0</v>
      </c>
      <c r="I65" s="17">
        <f>'Datos Actividad'!$X61*'FE Sectorial'!$H64*'FE Sectorial'!J64/1000/1000</f>
        <v>0</v>
      </c>
      <c r="J65" s="17">
        <f>'Datos Actividad'!$X61*'FE Sectorial'!$H64*'FE Sectorial'!K64/1000/1000</f>
        <v>0</v>
      </c>
      <c r="K65" s="17">
        <f>'Datos Actividad'!$X61*'FE Sectorial'!$H64*'FE Sectorial'!L64/1000/1000</f>
        <v>0</v>
      </c>
      <c r="L65" s="17">
        <f>'Datos Actividad'!$X61*'FE Sectorial'!$H64*'FE Sectorial'!M64/1000/1000</f>
        <v>0</v>
      </c>
      <c r="M65" s="17">
        <f>'Datos Actividad'!$X61*'FE Sectorial'!$H64*'FE Sectorial'!N64/1000/1000</f>
        <v>0</v>
      </c>
      <c r="N65" s="17">
        <f>'Datos Actividad'!$X61*'FE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Actividad'!$X62*'FE Sectorial'!$H65*'FE Sectorial'!I65*'FE Sectorial'!P65/1000</f>
        <v>0</v>
      </c>
      <c r="I66" s="17">
        <f>'Datos Actividad'!$X62*'FE Sectorial'!$H65*'FE Sectorial'!J65/1000/1000</f>
        <v>0</v>
      </c>
      <c r="J66" s="17">
        <f>'Datos Actividad'!$X62*'FE Sectorial'!$H65*'FE Sectorial'!K65/1000/1000</f>
        <v>0</v>
      </c>
      <c r="K66" s="17">
        <f>'Datos Actividad'!$X62*'FE Sectorial'!$H65*'FE Sectorial'!L65/1000/1000</f>
        <v>0</v>
      </c>
      <c r="L66" s="17">
        <f>'Datos Actividad'!$X62*'FE Sectorial'!$H65*'FE Sectorial'!M65/1000/1000</f>
        <v>0</v>
      </c>
      <c r="M66" s="17">
        <f>'Datos Actividad'!$X62*'FE Sectorial'!$H65*'FE Sectorial'!N65/1000/1000</f>
        <v>0</v>
      </c>
      <c r="N66" s="17">
        <f>'Datos Actividad'!$X62*'FE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Actividad'!$X63*'FE Sectorial'!$H66*'FE Sectorial'!I66*'FE Sectorial'!P66/1000</f>
        <v>3065963.0559999999</v>
      </c>
      <c r="I67" s="17">
        <f>'Datos Actividad'!$X63*'FE Sectorial'!$H66*'FE Sectorial'!J66/1000/1000</f>
        <v>1057.2286399999998</v>
      </c>
      <c r="J67" s="17">
        <f>'Datos Actividad'!$X63*'FE Sectorial'!$H66*'FE Sectorial'!K66/1000/1000</f>
        <v>140.96381866666667</v>
      </c>
      <c r="K67" s="17">
        <f>'Datos Actividad'!$X63*'FE Sectorial'!$H66*'FE Sectorial'!L66/1000/1000</f>
        <v>3524.0954666666662</v>
      </c>
      <c r="L67" s="17">
        <f>'Datos Actividad'!$X63*'FE Sectorial'!$H66*'FE Sectorial'!M66/1000/1000</f>
        <v>140963.81866666666</v>
      </c>
      <c r="M67" s="17">
        <f>'Datos Actividad'!$X63*'FE Sectorial'!$H66*'FE Sectorial'!N66/1000/1000</f>
        <v>1762.0477333333331</v>
      </c>
      <c r="N67" s="17">
        <f>'Datos Actividad'!$X63*'FE Sectorial'!$H66*'FE Sectorial'!O66/1000/1000</f>
        <v>0</v>
      </c>
      <c r="O67" s="87">
        <f>IF(D67&lt;400,H67+I67*'Factores generales'!$M$41+J67*'Factores generales'!$N$41,I67*'Factores generales'!$M$41+J67*'Factores generales'!$N$41)</f>
        <v>65900.585226666662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Actividad'!$X64*'FE Sectorial'!$H67*'FE Sectorial'!I67*'FE Sectorial'!P67/1000</f>
        <v>2067.2870400000002</v>
      </c>
      <c r="I68" s="17">
        <f>'Datos Actividad'!$X64*'FE Sectorial'!$H67*'FE Sectorial'!J67/1000/1000</f>
        <v>0.63648000000000005</v>
      </c>
      <c r="J68" s="17">
        <f>'Datos Actividad'!$X64*'FE Sectorial'!$H67*'FE Sectorial'!K67/1000/1000</f>
        <v>8.4864000000000009E-2</v>
      </c>
      <c r="K68" s="17">
        <f>'Datos Actividad'!$X64*'FE Sectorial'!$H67*'FE Sectorial'!L67/1000/1000</f>
        <v>2.1215999999999999</v>
      </c>
      <c r="L68" s="17">
        <f>'Datos Actividad'!$X64*'FE Sectorial'!$H67*'FE Sectorial'!M67/1000/1000</f>
        <v>42.432000000000002</v>
      </c>
      <c r="M68" s="17">
        <f>'Datos Actividad'!$X64*'FE Sectorial'!$H67*'FE Sectorial'!N67/1000/1000</f>
        <v>1.0608</v>
      </c>
      <c r="N68" s="17">
        <f>'Datos Actividad'!$X64*'FE Sectorial'!$H67*'FE Sectorial'!O67/1000/1000</f>
        <v>5.44</v>
      </c>
      <c r="O68" s="87">
        <f>IF(D68&lt;400,H68+I68*'Factores generales'!$M$41+J68*'Factores generales'!$N$41,I68*'Factores generales'!$M$41+J68*'Factores generales'!$N$41)</f>
        <v>39.673920000000003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Actividad'!$X65*'FE Sectorial'!$H68*'FE Sectorial'!I68*'FE Sectorial'!P68/1000</f>
        <v>682994.05077468453</v>
      </c>
      <c r="I69" s="17">
        <f>'Datos Actividad'!$X65*'FE Sectorial'!$H68*'FE Sectorial'!J68/1000/1000</f>
        <v>235.51518992230501</v>
      </c>
      <c r="J69" s="17">
        <f>'Datos Actividad'!$X65*'FE Sectorial'!$H68*'FE Sectorial'!K68/1000/1000</f>
        <v>31.402025322974001</v>
      </c>
      <c r="K69" s="17">
        <f>'Datos Actividad'!$X65*'FE Sectorial'!$H68*'FE Sectorial'!L68/1000/1000</f>
        <v>785.05063307435</v>
      </c>
      <c r="L69" s="17">
        <f>'Datos Actividad'!$X65*'FE Sectorial'!$H68*'FE Sectorial'!M68/1000/1000</f>
        <v>31402.025322974001</v>
      </c>
      <c r="M69" s="17">
        <f>'Datos Actividad'!$X65*'FE Sectorial'!$H68*'FE Sectorial'!N68/1000/1000</f>
        <v>392.525316537175</v>
      </c>
      <c r="N69" s="17">
        <f>'Datos Actividad'!$X65*'FE Sectorial'!$H68*'FE Sectorial'!O68/1000/1000</f>
        <v>0</v>
      </c>
      <c r="O69" s="87">
        <f>IF(D69&lt;400,H69+I69*'Factores generales'!$M$41+J69*'Factores generales'!$N$41,I69*'Factores generales'!$M$41+J69*'Factores generales'!$N$41)</f>
        <v>14680.446838490345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14694600.837340957</v>
      </c>
      <c r="I70" s="134">
        <f t="shared" si="16"/>
        <v>558.85700783975165</v>
      </c>
      <c r="J70" s="134">
        <f t="shared" si="16"/>
        <v>78.942938850333434</v>
      </c>
      <c r="K70" s="134">
        <f t="shared" si="16"/>
        <v>40113.227560527361</v>
      </c>
      <c r="L70" s="134">
        <f t="shared" si="16"/>
        <v>37117.249416127837</v>
      </c>
      <c r="M70" s="134">
        <f t="shared" si="16"/>
        <v>1639.7418910600463</v>
      </c>
      <c r="N70" s="134">
        <f t="shared" si="16"/>
        <v>9017.6627970796708</v>
      </c>
      <c r="O70" s="134">
        <f t="shared" si="16"/>
        <v>14730809.145549193</v>
      </c>
    </row>
    <row r="71" spans="1:15" outlineLevel="1" x14ac:dyDescent="0.25">
      <c r="B71" s="1" t="s">
        <v>36</v>
      </c>
      <c r="G71" s="1"/>
      <c r="H71" s="15">
        <f>H72+H73+H74+H76</f>
        <v>181026.48614759615</v>
      </c>
      <c r="I71" s="15">
        <f>SUM(I72:I76)</f>
        <v>1.9428203546303429</v>
      </c>
      <c r="J71" s="15">
        <f t="shared" ref="J71:O71" si="17">SUM(J72:J76)</f>
        <v>2.9142305319455146</v>
      </c>
      <c r="K71" s="15">
        <f t="shared" si="17"/>
        <v>582.84610638910283</v>
      </c>
      <c r="L71" s="15">
        <f t="shared" si="17"/>
        <v>291.42305319455141</v>
      </c>
      <c r="M71" s="15">
        <f t="shared" si="17"/>
        <v>38.856407092606858</v>
      </c>
      <c r="N71" s="15">
        <f t="shared" si="17"/>
        <v>1552.9375100530804</v>
      </c>
      <c r="O71" s="15">
        <f t="shared" si="17"/>
        <v>181970.6968399465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Actividad'!$X68*'FE Sectorial'!$H71*'FE Sectorial'!I71*'FE Sectorial'!P71/1000</f>
        <v>0</v>
      </c>
      <c r="I72" s="17">
        <f>'Datos Actividad'!$X68*'FE Sectorial'!$H71*'FE Sectorial'!J71/1000/1000</f>
        <v>0</v>
      </c>
      <c r="J72" s="17">
        <f>'Datos Actividad'!$X68*'FE Sectorial'!$H71*'FE Sectorial'!K71/1000/1000</f>
        <v>0</v>
      </c>
      <c r="K72" s="17">
        <f>'Datos Actividad'!$X68*'FE Sectorial'!$H71*'FE Sectorial'!L71/1000/1000</f>
        <v>0</v>
      </c>
      <c r="L72" s="17">
        <f>'Datos Actividad'!$X68*'FE Sectorial'!$H71*'FE Sectorial'!M71/1000/1000</f>
        <v>0</v>
      </c>
      <c r="M72" s="17">
        <f>'Datos Actividad'!$X68*'FE Sectorial'!$H71*'FE Sectorial'!N71/1000/1000</f>
        <v>0</v>
      </c>
      <c r="N72" s="17">
        <f>'Datos Actividad'!$X68*'FE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Actividad'!$X69*'FE Sectorial'!$H72*'FE Sectorial'!I72*'FE Sectorial'!P72/1000</f>
        <v>0</v>
      </c>
      <c r="I73" s="17">
        <f>'Datos Actividad'!$X69*'FE Sectorial'!$H72*'FE Sectorial'!J72/1000/1000</f>
        <v>0</v>
      </c>
      <c r="J73" s="17">
        <f>'Datos Actividad'!$X69*'FE Sectorial'!$H72*'FE Sectorial'!K72/1000/1000</f>
        <v>0</v>
      </c>
      <c r="K73" s="17">
        <f>'Datos Actividad'!$X69*'FE Sectorial'!$H72*'FE Sectorial'!L72/1000/1000</f>
        <v>0</v>
      </c>
      <c r="L73" s="17">
        <f>'Datos Actividad'!$X69*'FE Sectorial'!$H72*'FE Sectorial'!M72/1000/1000</f>
        <v>0</v>
      </c>
      <c r="M73" s="17">
        <f>'Datos Actividad'!$X69*'FE Sectorial'!$H72*'FE Sectorial'!N72/1000/1000</f>
        <v>0</v>
      </c>
      <c r="N73" s="17">
        <f>'Datos Actividad'!$X69*'FE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Actividad'!$X70*'FE Sectorial'!$H73*'FE Sectorial'!I73*'FE Sectorial'!P73/1000</f>
        <v>30645.148026315786</v>
      </c>
      <c r="I74" s="17">
        <f>'Datos Actividad'!$X70*'FE Sectorial'!$H73*'FE Sectorial'!J73/1000/1000</f>
        <v>0.32072368421052633</v>
      </c>
      <c r="J74" s="17">
        <f>'Datos Actividad'!$X70*'FE Sectorial'!$H73*'FE Sectorial'!K73/1000/1000</f>
        <v>0.48108552631578949</v>
      </c>
      <c r="K74" s="17">
        <f>'Datos Actividad'!$X70*'FE Sectorial'!$H73*'FE Sectorial'!L73/1000/1000</f>
        <v>96.21710526315789</v>
      </c>
      <c r="L74" s="17">
        <f>'Datos Actividad'!$X70*'FE Sectorial'!$H73*'FE Sectorial'!M73/1000/1000</f>
        <v>48.108552631578945</v>
      </c>
      <c r="M74" s="17">
        <f>'Datos Actividad'!$X70*'FE Sectorial'!$H73*'FE Sectorial'!N73/1000/1000</f>
        <v>6.4144736842105257</v>
      </c>
      <c r="N74" s="17">
        <f>'Datos Actividad'!$X70*'FE Sectorial'!$H73*'FE Sectorial'!O73/1000/1000</f>
        <v>0</v>
      </c>
      <c r="O74" s="87">
        <f>IF(D74&lt;400,H74+I74*'Factores generales'!$M$41+J74*'Factores generales'!$N$41,I74*'Factores generales'!$M$41+J74*'Factores generales'!$N$41)</f>
        <v>30801.0197368421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Actividad'!$X71*'FE Sectorial'!$H74*'FE Sectorial'!I74*'FE Sectorial'!P74/1000</f>
        <v>0</v>
      </c>
      <c r="I75" s="17">
        <f>'Datos Actividad'!$X71*'FE Sectorial'!$H74*'FE Sectorial'!J74/1000/1000</f>
        <v>0</v>
      </c>
      <c r="J75" s="17">
        <f>'Datos Actividad'!$X71*'FE Sectorial'!$H74*'FE Sectorial'!K74/1000/1000</f>
        <v>0</v>
      </c>
      <c r="K75" s="17">
        <f>'Datos Actividad'!$X71*'FE Sectorial'!$H74*'FE Sectorial'!L74/1000/1000</f>
        <v>0</v>
      </c>
      <c r="L75" s="17">
        <f>'Datos Actividad'!$X71*'FE Sectorial'!$H74*'FE Sectorial'!M74/1000/1000</f>
        <v>0</v>
      </c>
      <c r="M75" s="17">
        <f>'Datos Actividad'!$X71*'FE Sectorial'!$H74*'FE Sectorial'!N74/1000/1000</f>
        <v>0</v>
      </c>
      <c r="N75" s="17">
        <f>'Datos Actividad'!$X71*'FE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Actividad'!$X72*'FE Sectorial'!$H75*'FE Sectorial'!I75*'FE Sectorial'!P75/1000</f>
        <v>150381.33812128037</v>
      </c>
      <c r="I76" s="17">
        <f>'Datos Actividad'!$X72*'FE Sectorial'!$H75*'FE Sectorial'!J75/1000/1000</f>
        <v>1.6220966704198165</v>
      </c>
      <c r="J76" s="17">
        <f>'Datos Actividad'!$X72*'FE Sectorial'!$H75*'FE Sectorial'!K75/1000/1000</f>
        <v>2.4331450056297252</v>
      </c>
      <c r="K76" s="17">
        <f>'Datos Actividad'!$X72*'FE Sectorial'!$H75*'FE Sectorial'!L75/1000/1000</f>
        <v>486.62900112594497</v>
      </c>
      <c r="L76" s="17">
        <f>'Datos Actividad'!$X72*'FE Sectorial'!$H75*'FE Sectorial'!M75/1000/1000</f>
        <v>243.31450056297248</v>
      </c>
      <c r="M76" s="17">
        <f>'Datos Actividad'!$X72*'FE Sectorial'!$H75*'FE Sectorial'!N75/1000/1000</f>
        <v>32.441933408396331</v>
      </c>
      <c r="N76" s="17">
        <f>'Datos Actividad'!$X72*'FE Sectorial'!$H75*'FE Sectorial'!O75/1000/1000</f>
        <v>1552.9375100530804</v>
      </c>
      <c r="O76" s="87">
        <f>IF(D76&lt;400,H76+I76*'Factores generales'!$M$41+J76*'Factores generales'!$N$41,I76*'Factores generales'!$M$41+J76*'Factores generales'!$N$41)</f>
        <v>151169.67710310439</v>
      </c>
    </row>
    <row r="77" spans="1:15" outlineLevel="1" x14ac:dyDescent="0.25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Actividad'!$X74*'FE Sectorial'!$H77*'FE Sectorial'!I77*'FE Sectorial'!P77/1000</f>
        <v>0</v>
      </c>
      <c r="I78" s="17">
        <f>'Datos Actividad'!$X74*'FE Sectorial'!$H77*'FE Sectorial'!J77/1000/1000</f>
        <v>0</v>
      </c>
      <c r="J78" s="17">
        <f>'Datos Actividad'!$X74*'FE Sectorial'!$H77*'FE Sectorial'!K77/1000/1000</f>
        <v>0</v>
      </c>
      <c r="K78" s="17">
        <f>'Datos Actividad'!$X74*'FE Sectorial'!$H77*'FE Sectorial'!L77/1000/1000</f>
        <v>0</v>
      </c>
      <c r="L78" s="17">
        <f>'Datos Actividad'!$X74*'FE Sectorial'!$H77*'FE Sectorial'!M77/1000/1000</f>
        <v>0</v>
      </c>
      <c r="M78" s="17">
        <f>'Datos Actividad'!$X74*'FE Sectorial'!$H77*'FE Sectorial'!N77/1000/1000</f>
        <v>0</v>
      </c>
      <c r="N78" s="17">
        <f>'Datos Actividad'!$X74*'FE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Actividad'!$X75*'FE Sectorial'!$H78*'FE Sectorial'!I78*'FE Sectorial'!P78/1000</f>
        <v>0</v>
      </c>
      <c r="I79" s="17">
        <f>'Datos Actividad'!$X75*'FE Sectorial'!$H78*'FE Sectorial'!J78/1000/1000</f>
        <v>0</v>
      </c>
      <c r="J79" s="17">
        <f>'Datos Actividad'!$X75*'FE Sectorial'!$H78*'FE Sectorial'!K78/1000/1000</f>
        <v>0</v>
      </c>
      <c r="K79" s="17">
        <f>'Datos Actividad'!$X75*'FE Sectorial'!$H78*'FE Sectorial'!L78/1000/1000</f>
        <v>0</v>
      </c>
      <c r="L79" s="17">
        <f>'Datos Actividad'!$X75*'FE Sectorial'!$H78*'FE Sectorial'!M78/1000/1000</f>
        <v>0</v>
      </c>
      <c r="M79" s="17">
        <f>'Datos Actividad'!$X75*'FE Sectorial'!$H78*'FE Sectorial'!N78/1000/1000</f>
        <v>0</v>
      </c>
      <c r="N79" s="17">
        <f>'Datos Actividad'!$X75*'FE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0</v>
      </c>
      <c r="I80" s="15">
        <f>SUM(I81:I85)</f>
        <v>227.34752921390935</v>
      </c>
      <c r="J80" s="15">
        <f t="shared" ref="J80:O80" si="19">SUM(J81:J85)</f>
        <v>30.313003895187915</v>
      </c>
      <c r="K80" s="15">
        <f t="shared" si="19"/>
        <v>757.82509737969781</v>
      </c>
      <c r="L80" s="15">
        <f t="shared" si="19"/>
        <v>30313.003895187914</v>
      </c>
      <c r="M80" s="15">
        <f t="shared" si="19"/>
        <v>378.9125486898489</v>
      </c>
      <c r="N80" s="15">
        <f t="shared" si="19"/>
        <v>0</v>
      </c>
      <c r="O80" s="15">
        <f t="shared" si="19"/>
        <v>14171.32932100035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Actividad'!$X77*'FE Sectorial'!$H80*'FE Sectorial'!I80*'FE Sectorial'!P80/1000</f>
        <v>0</v>
      </c>
      <c r="I81" s="17">
        <f>'Datos Actividad'!$X77*'FE Sectorial'!$H80*'FE Sectorial'!J80/1000/1000</f>
        <v>0</v>
      </c>
      <c r="J81" s="17">
        <f>'Datos Actividad'!$X77*'FE Sectorial'!$H80*'FE Sectorial'!K80/1000/1000</f>
        <v>0</v>
      </c>
      <c r="K81" s="17">
        <f>'Datos Actividad'!$X77*'FE Sectorial'!$H80*'FE Sectorial'!L80/1000/1000</f>
        <v>0</v>
      </c>
      <c r="L81" s="17">
        <f>'Datos Actividad'!$X77*'FE Sectorial'!$H80*'FE Sectorial'!M80/1000/1000</f>
        <v>0</v>
      </c>
      <c r="M81" s="17">
        <f>'Datos Actividad'!$X77*'FE Sectorial'!$H80*'FE Sectorial'!N80/1000/1000</f>
        <v>0</v>
      </c>
      <c r="N81" s="17">
        <f>'Datos Actividad'!$X77*'FE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Actividad'!$X78*'FE Sectorial'!$H81*'FE Sectorial'!I81*'FE Sectorial'!P81/1000</f>
        <v>0</v>
      </c>
      <c r="I82" s="17">
        <f>'Datos Actividad'!$X78*'FE Sectorial'!$H81*'FE Sectorial'!J81/1000/1000</f>
        <v>0</v>
      </c>
      <c r="J82" s="17">
        <f>'Datos Actividad'!$X78*'FE Sectorial'!$H81*'FE Sectorial'!K81/1000/1000</f>
        <v>0</v>
      </c>
      <c r="K82" s="17">
        <f>'Datos Actividad'!$X78*'FE Sectorial'!$H81*'FE Sectorial'!L81/1000/1000</f>
        <v>0</v>
      </c>
      <c r="L82" s="17">
        <f>'Datos Actividad'!$X78*'FE Sectorial'!$H81*'FE Sectorial'!M81/1000/1000</f>
        <v>0</v>
      </c>
      <c r="M82" s="17">
        <f>'Datos Actividad'!$X78*'FE Sectorial'!$H81*'FE Sectorial'!N81/1000/1000</f>
        <v>0</v>
      </c>
      <c r="N82" s="17">
        <f>'Datos Actividad'!$X78*'FE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Actividad'!$X79*'FE Sectorial'!$H82*'FE Sectorial'!I82*'FE Sectorial'!P82/1000</f>
        <v>0</v>
      </c>
      <c r="I83" s="95">
        <f>'Datos Actividad'!$X79*'FE Sectorial'!$H82*'FE Sectorial'!J82/1000/1000</f>
        <v>0</v>
      </c>
      <c r="J83" s="17">
        <f>'Datos Actividad'!$X79*'FE Sectorial'!$H82*'FE Sectorial'!K82/1000/1000</f>
        <v>0</v>
      </c>
      <c r="K83" s="17">
        <f>'Datos Actividad'!$X79*'FE Sectorial'!$H82*'FE Sectorial'!L82/1000/1000</f>
        <v>0</v>
      </c>
      <c r="L83" s="17">
        <f>'Datos Actividad'!$X79*'FE Sectorial'!$H82*'FE Sectorial'!M82/1000/1000</f>
        <v>0</v>
      </c>
      <c r="M83" s="17">
        <f>'Datos Actividad'!$X79*'FE Sectorial'!$H82*'FE Sectorial'!N82/1000/1000</f>
        <v>0</v>
      </c>
      <c r="N83" s="17">
        <f>'Datos Actividad'!$X79*'FE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Actividad'!$X80*'FE Sectorial'!$H83*'FE Sectorial'!I83*'FE Sectorial'!P83/1000</f>
        <v>0</v>
      </c>
      <c r="I84" s="95">
        <f>'Datos Actividad'!$X80*'FE Sectorial'!$H83*'FE Sectorial'!J83/1000/1000</f>
        <v>0</v>
      </c>
      <c r="J84" s="17">
        <f>'Datos Actividad'!$X80*'FE Sectorial'!$H83*'FE Sectorial'!K83/1000/1000</f>
        <v>0</v>
      </c>
      <c r="K84" s="17">
        <f>'Datos Actividad'!$X80*'FE Sectorial'!$H83*'FE Sectorial'!L83/1000/1000</f>
        <v>0</v>
      </c>
      <c r="L84" s="17">
        <f>'Datos Actividad'!$X80*'FE Sectorial'!$H83*'FE Sectorial'!M83/1000/1000</f>
        <v>0</v>
      </c>
      <c r="M84" s="17">
        <f>'Datos Actividad'!$X80*'FE Sectorial'!$H83*'FE Sectorial'!N83/1000/1000</f>
        <v>0</v>
      </c>
      <c r="N84" s="17">
        <f>'Datos Actividad'!$X80*'FE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Actividad'!$X81*'FE Sectorial'!$H84*'FE Sectorial'!I84*'FE Sectorial'!P84/1000</f>
        <v>659307.83472033706</v>
      </c>
      <c r="I85" s="95">
        <f>'Datos Actividad'!$X81*'FE Sectorial'!$H84*'FE Sectorial'!J84/1000/1000</f>
        <v>227.34752921390935</v>
      </c>
      <c r="J85" s="17">
        <f>'Datos Actividad'!$X81*'FE Sectorial'!$H84*'FE Sectorial'!K84/1000/1000</f>
        <v>30.313003895187915</v>
      </c>
      <c r="K85" s="17">
        <f>'Datos Actividad'!$X81*'FE Sectorial'!$H84*'FE Sectorial'!L84/1000/1000</f>
        <v>757.82509737969781</v>
      </c>
      <c r="L85" s="17">
        <f>'Datos Actividad'!$X81*'FE Sectorial'!$H84*'FE Sectorial'!M84/1000/1000</f>
        <v>30313.003895187914</v>
      </c>
      <c r="M85" s="17">
        <f>'Datos Actividad'!$X81*'FE Sectorial'!$H84*'FE Sectorial'!N84/1000/1000</f>
        <v>378.9125486898489</v>
      </c>
      <c r="N85" s="17">
        <f>'Datos Actividad'!$X81*'FE Sectorial'!$H84*'FE Sectorial'!O84/1000/1000</f>
        <v>0</v>
      </c>
      <c r="O85" s="87">
        <f>IF(D85&lt;400,H85+I85*'Factores generales'!$M$41+J85*'Factores generales'!$N$41,I85*'Factores generales'!$M$41+J85*'Factores generales'!$N$41)</f>
        <v>14171.32932100035</v>
      </c>
    </row>
    <row r="86" spans="2:15" outlineLevel="1" x14ac:dyDescent="0.25">
      <c r="B86" s="1" t="s">
        <v>38</v>
      </c>
      <c r="G86" s="1"/>
      <c r="H86" s="15">
        <f>H87+H88</f>
        <v>0</v>
      </c>
      <c r="I86" s="15">
        <f>I87+I88+I89</f>
        <v>0.25158129412898117</v>
      </c>
      <c r="J86" s="15">
        <f t="shared" ref="J86:O86" si="20">J87+J88+J89</f>
        <v>3.3544172550530819E-2</v>
      </c>
      <c r="K86" s="15">
        <f t="shared" si="20"/>
        <v>0.83860431376327049</v>
      </c>
      <c r="L86" s="15">
        <f t="shared" si="20"/>
        <v>33.544172550530817</v>
      </c>
      <c r="M86" s="15">
        <f t="shared" si="20"/>
        <v>0.41930215688163525</v>
      </c>
      <c r="N86" s="15">
        <f t="shared" si="20"/>
        <v>0</v>
      </c>
      <c r="O86" s="15">
        <f t="shared" si="20"/>
        <v>15.681900667373158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Actividad'!$X83*'FE Sectorial'!$H86*'FE Sectorial'!I86*'FE Sectorial'!P86/1000</f>
        <v>0</v>
      </c>
      <c r="I87" s="17">
        <f>'Datos Actividad'!$X83*'FE Sectorial'!$H86*'FE Sectorial'!J86/1000/1000</f>
        <v>0</v>
      </c>
      <c r="J87" s="17">
        <f>'Datos Actividad'!$X83*'FE Sectorial'!$H86*'FE Sectorial'!K86/1000/1000</f>
        <v>0</v>
      </c>
      <c r="K87" s="17">
        <f>'Datos Actividad'!$X83*'FE Sectorial'!$H86*'FE Sectorial'!L86/1000/1000</f>
        <v>0</v>
      </c>
      <c r="L87" s="17">
        <f>'Datos Actividad'!$X83*'FE Sectorial'!$H86*'FE Sectorial'!M86/1000/1000</f>
        <v>0</v>
      </c>
      <c r="M87" s="17">
        <f>'Datos Actividad'!$X83*'FE Sectorial'!$H86*'FE Sectorial'!N86/1000/1000</f>
        <v>0</v>
      </c>
      <c r="N87" s="17">
        <f>'Datos Actividad'!$X83*'FE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Actividad'!$X84*'FE Sectorial'!$H87*'FE Sectorial'!I87*'FE Sectorial'!P87/1000</f>
        <v>0</v>
      </c>
      <c r="I88" s="17">
        <f>'Datos Actividad'!$X84*'FE Sectorial'!$H87*'FE Sectorial'!J87/1000/1000</f>
        <v>0</v>
      </c>
      <c r="J88" s="17">
        <f>'Datos Actividad'!$X84*'FE Sectorial'!$H87*'FE Sectorial'!K87/1000/1000</f>
        <v>0</v>
      </c>
      <c r="K88" s="17">
        <f>'Datos Actividad'!$X84*'FE Sectorial'!$H87*'FE Sectorial'!L87/1000/1000</f>
        <v>0</v>
      </c>
      <c r="L88" s="17">
        <f>'Datos Actividad'!$X84*'FE Sectorial'!$H87*'FE Sectorial'!M87/1000/1000</f>
        <v>0</v>
      </c>
      <c r="M88" s="17">
        <f>'Datos Actividad'!$X84*'FE Sectorial'!$H87*'FE Sectorial'!N87/1000/1000</f>
        <v>0</v>
      </c>
      <c r="N88" s="17">
        <f>'Datos Actividad'!$X84*'FE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Actividad'!$X85*'FE Sectorial'!$H88*'FE Sectorial'!I88*'FE Sectorial'!P88/1000</f>
        <v>729.58575297404536</v>
      </c>
      <c r="I89" s="95">
        <f>'Datos Actividad'!$X85*'FE Sectorial'!$H88*'FE Sectorial'!J88/1000/1000</f>
        <v>0.25158129412898117</v>
      </c>
      <c r="J89" s="17">
        <f>'Datos Actividad'!$X85*'FE Sectorial'!$H88*'FE Sectorial'!K88/1000/1000</f>
        <v>3.3544172550530819E-2</v>
      </c>
      <c r="K89" s="17">
        <f>'Datos Actividad'!$X85*'FE Sectorial'!$H88*'FE Sectorial'!L88/1000/1000</f>
        <v>0.83860431376327049</v>
      </c>
      <c r="L89" s="17">
        <f>'Datos Actividad'!$X85*'FE Sectorial'!$H88*'FE Sectorial'!M88/1000/1000</f>
        <v>33.544172550530817</v>
      </c>
      <c r="M89" s="17">
        <f>'Datos Actividad'!$X85*'FE Sectorial'!$H88*'FE Sectorial'!N88/1000/1000</f>
        <v>0.41930215688163525</v>
      </c>
      <c r="N89" s="17">
        <f>'Datos Actividad'!$X85*'FE Sectorial'!$H88*'FE Sectorial'!O88/1000/1000</f>
        <v>0</v>
      </c>
      <c r="O89" s="87">
        <f>IF(D89&lt;400,H89+I89*'Factores generales'!$M$41+J89*'Factores generales'!$N$41,I89*'Factores generales'!$M$41+J89*'Factores generales'!$N$41)</f>
        <v>15.681900667373158</v>
      </c>
    </row>
    <row r="90" spans="2:15" outlineLevel="1" x14ac:dyDescent="0.25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Actividad'!$X87*'FE Sectorial'!$H90*'FE Sectorial'!I90*'FE Sectorial'!P90/1000</f>
        <v>0</v>
      </c>
      <c r="I91" s="17">
        <f>'Datos Actividad'!$X87*'FE Sectorial'!$H90*'FE Sectorial'!J90/1000/1000</f>
        <v>0</v>
      </c>
      <c r="J91" s="17">
        <f>'Datos Actividad'!$X87*'FE Sectorial'!$H90*'FE Sectorial'!K90/1000/1000</f>
        <v>0</v>
      </c>
      <c r="K91" s="17">
        <f>'Datos Actividad'!$X87*'FE Sectorial'!$H90*'FE Sectorial'!L90/1000/1000</f>
        <v>0</v>
      </c>
      <c r="L91" s="17">
        <f>'Datos Actividad'!$X87*'FE Sectorial'!$H90*'FE Sectorial'!M90/1000/1000</f>
        <v>0</v>
      </c>
      <c r="M91" s="17">
        <f>'Datos Actividad'!$X87*'FE Sectorial'!$H90*'FE Sectorial'!N90/1000/1000</f>
        <v>0</v>
      </c>
      <c r="N91" s="17">
        <f>'Datos Actividad'!$X87*'FE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Actividad'!$X88*'FE Sectorial'!$H91*'FE Sectorial'!I91*'FE Sectorial'!P91/1000</f>
        <v>0</v>
      </c>
      <c r="I92" s="17">
        <f>'Datos Actividad'!$X88*'FE Sectorial'!$H91*'FE Sectorial'!J91/1000/1000</f>
        <v>0</v>
      </c>
      <c r="J92" s="17">
        <f>'Datos Actividad'!$X88*'FE Sectorial'!$H91*'FE Sectorial'!K91/1000/1000</f>
        <v>0</v>
      </c>
      <c r="K92" s="17">
        <f>'Datos Actividad'!$X88*'FE Sectorial'!$H91*'FE Sectorial'!L91/1000/1000</f>
        <v>0</v>
      </c>
      <c r="L92" s="17">
        <f>'Datos Actividad'!$X88*'FE Sectorial'!$H91*'FE Sectorial'!M91/1000/1000</f>
        <v>0</v>
      </c>
      <c r="M92" s="17">
        <f>'Datos Actividad'!$X88*'FE Sectorial'!$H91*'FE Sectorial'!N91/1000/1000</f>
        <v>0</v>
      </c>
      <c r="N92" s="17">
        <f>'Datos Actividad'!$X88*'FE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Actividad'!$X89*'FE Sectorial'!$H92*'FE Sectorial'!I92*'FE Sectorial'!P92/1000</f>
        <v>0</v>
      </c>
      <c r="I93" s="17">
        <f>'Datos Actividad'!$X89*'FE Sectorial'!$H92*'FE Sectorial'!J92/1000/1000</f>
        <v>0</v>
      </c>
      <c r="J93" s="17">
        <f>'Datos Actividad'!$X89*'FE Sectorial'!$H92*'FE Sectorial'!K92/1000/1000</f>
        <v>0</v>
      </c>
      <c r="K93" s="17">
        <f>'Datos Actividad'!$X89*'FE Sectorial'!$H92*'FE Sectorial'!L92/1000/1000</f>
        <v>0</v>
      </c>
      <c r="L93" s="17">
        <f>'Datos Actividad'!$X89*'FE Sectorial'!$H92*'FE Sectorial'!M92/1000/1000</f>
        <v>0</v>
      </c>
      <c r="M93" s="17">
        <f>'Datos Actividad'!$X89*'FE Sectorial'!$H92*'FE Sectorial'!N92/1000/1000</f>
        <v>0</v>
      </c>
      <c r="N93" s="17">
        <f>'Datos Actividad'!$X89*'FE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14513574.351193361</v>
      </c>
      <c r="I94" s="15">
        <f t="shared" ref="I94:O94" si="22">SUM(I95:I100)</f>
        <v>329.31507697708298</v>
      </c>
      <c r="J94" s="15">
        <f t="shared" si="22"/>
        <v>45.682160250649467</v>
      </c>
      <c r="K94" s="15">
        <f t="shared" si="22"/>
        <v>38771.717752444798</v>
      </c>
      <c r="L94" s="15">
        <f t="shared" si="22"/>
        <v>6479.2782951948429</v>
      </c>
      <c r="M94" s="15">
        <f t="shared" si="22"/>
        <v>1221.553633120709</v>
      </c>
      <c r="N94" s="15">
        <f t="shared" si="22"/>
        <v>7464.7252870265902</v>
      </c>
      <c r="O94" s="15">
        <f t="shared" si="22"/>
        <v>14534651.437487578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Actividad'!$X91*'FE Sectorial'!$H94*'FE Sectorial'!I94*'FE Sectorial'!P94/1000</f>
        <v>11169860.861697121</v>
      </c>
      <c r="I95" s="17">
        <f>'Datos Actividad'!$X91*'FE Sectorial'!$H94*'FE Sectorial'!J94/1000/1000</f>
        <v>200.10678816000001</v>
      </c>
      <c r="J95" s="17">
        <f>'Datos Actividad'!$X91*'FE Sectorial'!$H94*'FE Sectorial'!K94/1000/1000</f>
        <v>20.010678815999999</v>
      </c>
      <c r="K95" s="17">
        <f>'Datos Actividad'!$X91*'FE Sectorial'!$H94*'FE Sectorial'!L94/1000/1000</f>
        <v>30016.018223999999</v>
      </c>
      <c r="L95" s="17">
        <f>'Datos Actividad'!$X91*'FE Sectorial'!$H94*'FE Sectorial'!M94/1000/1000</f>
        <v>6003.2036447999999</v>
      </c>
      <c r="M95" s="17">
        <f>'Datos Actividad'!$X91*'FE Sectorial'!$H94*'FE Sectorial'!N94/1000/1000</f>
        <v>1000.5339408</v>
      </c>
      <c r="N95" s="17">
        <f>'Datos Actividad'!$X91*'FE Sectorial'!$H94*'FE Sectorial'!O94/1000/1000</f>
        <v>0</v>
      </c>
      <c r="O95" s="87">
        <f>IF(D95&lt;400,H95+I95*'Factores generales'!$M$41+J95*'Factores generales'!$N$41,I95*'Factores generales'!$M$41+J95*'Factores generales'!$N$41)</f>
        <v>11180266.41468144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Actividad'!$X92*'FE Sectorial'!$H95*'FE Sectorial'!I95*'FE Sectorial'!P95/1000</f>
        <v>106307.4508175345</v>
      </c>
      <c r="I96" s="17">
        <f>'Datos Actividad'!$X92*'FE Sectorial'!$H95*'FE Sectorial'!J95/1000/1000</f>
        <v>1.701763287671237</v>
      </c>
      <c r="J96" s="17">
        <f>'Datos Actividad'!$X92*'FE Sectorial'!$H95*'FE Sectorial'!K95/1000/1000</f>
        <v>0.17017632876712369</v>
      </c>
      <c r="K96" s="17">
        <f>'Datos Actividad'!$X92*'FE Sectorial'!$H95*'FE Sectorial'!L95/1000/1000</f>
        <v>255.2644931506855</v>
      </c>
      <c r="L96" s="17">
        <f>'Datos Actividad'!$X92*'FE Sectorial'!$H95*'FE Sectorial'!M95/1000/1000</f>
        <v>51.052898630137108</v>
      </c>
      <c r="M96" s="17">
        <f>'Datos Actividad'!$X92*'FE Sectorial'!$H95*'FE Sectorial'!N95/1000/1000</f>
        <v>8.5088164383561828</v>
      </c>
      <c r="N96" s="17">
        <f>'Datos Actividad'!$X92*'FE Sectorial'!$H95*'FE Sectorial'!O95/1000/1000</f>
        <v>7.1956164383561827</v>
      </c>
      <c r="O96" s="87">
        <f>IF(D96&lt;400,H96+I96*'Factores generales'!$M$41+J96*'Factores generales'!$N$41,I96*'Factores generales'!$M$41+J96*'Factores generales'!$N$41)</f>
        <v>106395.94250849339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Actividad'!$X93*'FE Sectorial'!$H96*'FE Sectorial'!I96*'FE Sectorial'!P96/1000</f>
        <v>434846.56265470566</v>
      </c>
      <c r="I97" s="17">
        <f>'Datos Actividad'!$X93*'FE Sectorial'!$H96*'FE Sectorial'!J96/1000/1000</f>
        <v>17.782953529411756</v>
      </c>
      <c r="J97" s="17">
        <f>'Datos Actividad'!$X93*'FE Sectorial'!$H96*'FE Sectorial'!K96/1000/1000</f>
        <v>3.5565907058823507</v>
      </c>
      <c r="K97" s="17">
        <f>'Datos Actividad'!$X93*'FE Sectorial'!$H96*'FE Sectorial'!L96/1000/1000</f>
        <v>1185.5302352941169</v>
      </c>
      <c r="L97" s="17">
        <f>'Datos Actividad'!$X93*'FE Sectorial'!$H96*'FE Sectorial'!M96/1000/1000</f>
        <v>59.276511764705852</v>
      </c>
      <c r="M97" s="17">
        <f>'Datos Actividad'!$X93*'FE Sectorial'!$H96*'FE Sectorial'!N96/1000/1000</f>
        <v>29.638255882352926</v>
      </c>
      <c r="N97" s="17">
        <f>'Datos Actividad'!$X93*'FE Sectorial'!$H96*'FE Sectorial'!O96/1000/1000</f>
        <v>215.04967058823519</v>
      </c>
      <c r="O97" s="87">
        <f>IF(D97&lt;400,H97+I97*'Factores generales'!$M$41+J97*'Factores generales'!$N$41,I97*'Factores generales'!$M$41+J97*'Factores generales'!$N$41)</f>
        <v>436322.54779764684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Actividad'!$X94*'FE Sectorial'!$H97*'FE Sectorial'!I97*'FE Sectorial'!P97/1000</f>
        <v>2802559.476023999</v>
      </c>
      <c r="I98" s="17">
        <f>'Datos Actividad'!$X94*'FE Sectorial'!$H97*'FE Sectorial'!J97/1000/1000</f>
        <v>109.72357199999998</v>
      </c>
      <c r="J98" s="17">
        <f>'Datos Actividad'!$X94*'FE Sectorial'!$H97*'FE Sectorial'!K97/1000/1000</f>
        <v>21.944714399999995</v>
      </c>
      <c r="K98" s="17">
        <f>'Datos Actividad'!$X94*'FE Sectorial'!$H97*'FE Sectorial'!L97/1000/1000</f>
        <v>7314.9047999999975</v>
      </c>
      <c r="L98" s="17">
        <f>'Datos Actividad'!$X94*'FE Sectorial'!$H97*'FE Sectorial'!M97/1000/1000</f>
        <v>365.74523999999991</v>
      </c>
      <c r="M98" s="17">
        <f>'Datos Actividad'!$X94*'FE Sectorial'!$H97*'FE Sectorial'!N97/1000/1000</f>
        <v>182.87261999999996</v>
      </c>
      <c r="N98" s="17">
        <f>'Datos Actividad'!$X94*'FE Sectorial'!$H97*'FE Sectorial'!O97/1000/1000</f>
        <v>7242.4799999999987</v>
      </c>
      <c r="O98" s="87">
        <f>IF(D98&lt;400,H98+I98*'Factores generales'!$M$41+J98*'Factores generales'!$N$41,I98*'Factores generales'!$M$41+J98*'Factores generales'!$N$41)</f>
        <v>2811666.5324999988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Actividad'!$X95*'FE Sectorial'!$H98*'FE Sectorial'!I98*'FE Sectorial'!P98/1000</f>
        <v>0</v>
      </c>
      <c r="I99" s="17">
        <f>'Datos Actividad'!$X95*'FE Sectorial'!$H98*'FE Sectorial'!J98/1000/1000</f>
        <v>0</v>
      </c>
      <c r="J99" s="17">
        <f>'Datos Actividad'!$X95*'FE Sectorial'!$H98*'FE Sectorial'!K98/1000/1000</f>
        <v>0</v>
      </c>
      <c r="K99" s="17">
        <f>'Datos Actividad'!$X95*'FE Sectorial'!$H98*'FE Sectorial'!L98/1000/1000</f>
        <v>0</v>
      </c>
      <c r="L99" s="17">
        <f>'Datos Actividad'!$X95*'FE Sectorial'!$H98*'FE Sectorial'!M98/1000/1000</f>
        <v>0</v>
      </c>
      <c r="M99" s="17">
        <f>'Datos Actividad'!$X95*'FE Sectorial'!$H98*'FE Sectorial'!N98/1000/1000</f>
        <v>0</v>
      </c>
      <c r="N99" s="17">
        <f>'Datos Actividad'!$X95*'FE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Actividad'!$X96*'FE Sectorial'!$H99*'FE Sectorial'!I99*'FE Sectorial'!P99/1000</f>
        <v>0</v>
      </c>
      <c r="I100" s="17">
        <f>'Datos Actividad'!$X96*'FE Sectorial'!$H99*'FE Sectorial'!J99/1000/1000</f>
        <v>0</v>
      </c>
      <c r="J100" s="17">
        <f>'Datos Actividad'!$X96*'FE Sectorial'!$H99*'FE Sectorial'!K99/1000/1000</f>
        <v>0</v>
      </c>
      <c r="K100" s="17">
        <f>'Datos Actividad'!$X96*'FE Sectorial'!$H99*'FE Sectorial'!L99/1000/1000</f>
        <v>0</v>
      </c>
      <c r="L100" s="17">
        <f>'Datos Actividad'!$X96*'FE Sectorial'!$H99*'FE Sectorial'!M99/1000/1000</f>
        <v>0</v>
      </c>
      <c r="M100" s="17">
        <f>'Datos Actividad'!$X96*'FE Sectorial'!$H99*'FE Sectorial'!N99/1000/1000</f>
        <v>0</v>
      </c>
      <c r="N100" s="17">
        <f>'Datos Actividad'!$X96*'FE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34361807.977742255</v>
      </c>
      <c r="I101" s="129">
        <f t="shared" si="23"/>
        <v>8589.0445932685489</v>
      </c>
      <c r="J101" s="129">
        <f t="shared" si="23"/>
        <v>2811.2076734008019</v>
      </c>
      <c r="K101" s="129">
        <f t="shared" si="23"/>
        <v>329993.94620817696</v>
      </c>
      <c r="L101" s="129">
        <f t="shared" si="23"/>
        <v>1920035.279839637</v>
      </c>
      <c r="M101" s="129">
        <f t="shared" si="23"/>
        <v>361304.82821976137</v>
      </c>
      <c r="N101" s="129">
        <f t="shared" si="23"/>
        <v>9586.7848689452421</v>
      </c>
      <c r="O101" s="129">
        <f t="shared" si="23"/>
        <v>35413652.292955138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776117.62364663742</v>
      </c>
      <c r="I102" s="134">
        <f t="shared" ref="I102:O102" si="24">I105</f>
        <v>5.4822181510675811</v>
      </c>
      <c r="J102" s="134">
        <f t="shared" si="24"/>
        <v>21.928872604270325</v>
      </c>
      <c r="K102" s="134">
        <f t="shared" si="24"/>
        <v>2741.1090755337905</v>
      </c>
      <c r="L102" s="134">
        <f t="shared" si="24"/>
        <v>1096.4436302135164</v>
      </c>
      <c r="M102" s="134">
        <f t="shared" si="24"/>
        <v>548.22181510675819</v>
      </c>
      <c r="N102" s="134">
        <f t="shared" si="24"/>
        <v>497.25334703560827</v>
      </c>
      <c r="O102" s="134">
        <f t="shared" si="24"/>
        <v>783030.70073513372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1506424.9770412275</v>
      </c>
      <c r="I103" s="15">
        <f t="shared" ref="I103:O103" si="25">I104</f>
        <v>10.640848887767378</v>
      </c>
      <c r="J103" s="15">
        <f t="shared" si="25"/>
        <v>42.563395551069512</v>
      </c>
      <c r="K103" s="15">
        <f t="shared" si="25"/>
        <v>5320.4244438836886</v>
      </c>
      <c r="L103" s="15">
        <f t="shared" si="25"/>
        <v>2128.1697775534753</v>
      </c>
      <c r="M103" s="15">
        <f t="shared" si="25"/>
        <v>1064.0848887767377</v>
      </c>
      <c r="N103" s="15">
        <f t="shared" si="25"/>
        <v>965.15636170225639</v>
      </c>
      <c r="O103" s="15">
        <f t="shared" si="25"/>
        <v>1519843.087488702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Actividad'!$X100*'FE Sectorial'!$H103*'FE Sectorial'!I103*'FE Sectorial'!P103/1000</f>
        <v>1506424.9770412275</v>
      </c>
      <c r="I104" s="17">
        <f>'Datos Actividad'!$X100*'FE Sectorial'!$H103*'FE Sectorial'!J103/1000/1000</f>
        <v>10.640848887767378</v>
      </c>
      <c r="J104" s="17">
        <f>'Datos Actividad'!$X100*'FE Sectorial'!$H103*'FE Sectorial'!K103/1000/1000</f>
        <v>42.563395551069512</v>
      </c>
      <c r="K104" s="17">
        <f>'Datos Actividad'!$X100*'FE Sectorial'!$H103*'FE Sectorial'!L103/1000/1000</f>
        <v>5320.4244438836886</v>
      </c>
      <c r="L104" s="17">
        <f>'Datos Actividad'!$X100*'FE Sectorial'!$H103*'FE Sectorial'!M103/1000/1000</f>
        <v>2128.1697775534753</v>
      </c>
      <c r="M104" s="17">
        <f>'Datos Actividad'!$X100*'FE Sectorial'!$H103*'FE Sectorial'!N103/1000/1000</f>
        <v>1064.0848887767377</v>
      </c>
      <c r="N104" s="17">
        <f>'Datos Actividad'!$X100*'FE Sectorial'!$H103*'FE Sectorial'!O103/1000/1000</f>
        <v>965.15636170225639</v>
      </c>
      <c r="O104" s="87">
        <f>IF(D104&lt;400,H104+I104*'Factores generales'!$M$41+J104*'Factores generales'!$N$41,I104*'Factores generales'!$M$41+J104*'Factores generales'!$N$41)</f>
        <v>1519843.087488702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776117.62364663742</v>
      </c>
      <c r="I105" s="15">
        <f t="shared" ref="I105:O105" si="26">I106</f>
        <v>5.4822181510675811</v>
      </c>
      <c r="J105" s="15">
        <f t="shared" si="26"/>
        <v>21.928872604270325</v>
      </c>
      <c r="K105" s="15">
        <f t="shared" si="26"/>
        <v>2741.1090755337905</v>
      </c>
      <c r="L105" s="15">
        <f t="shared" si="26"/>
        <v>1096.4436302135164</v>
      </c>
      <c r="M105" s="15">
        <f t="shared" si="26"/>
        <v>548.22181510675819</v>
      </c>
      <c r="N105" s="15">
        <f t="shared" si="26"/>
        <v>497.25334703560827</v>
      </c>
      <c r="O105" s="15">
        <f t="shared" si="26"/>
        <v>783030.70073513372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Actividad'!$X102*'FE Sectorial'!$H105*'FE Sectorial'!I105*'FE Sectorial'!P105/1000</f>
        <v>776117.62364663742</v>
      </c>
      <c r="I106" s="17">
        <f>'Datos Actividad'!$X102*'FE Sectorial'!$H105*'FE Sectorial'!J105/1000/1000</f>
        <v>5.4822181510675811</v>
      </c>
      <c r="J106" s="17">
        <f>'Datos Actividad'!$X102*'FE Sectorial'!$H105*'FE Sectorial'!K105/1000/1000</f>
        <v>21.928872604270325</v>
      </c>
      <c r="K106" s="17">
        <f>'Datos Actividad'!$X102*'FE Sectorial'!$H105*'FE Sectorial'!L105/1000/1000</f>
        <v>2741.1090755337905</v>
      </c>
      <c r="L106" s="17">
        <f>'Datos Actividad'!$X102*'FE Sectorial'!$H105*'FE Sectorial'!M105/1000/1000</f>
        <v>1096.4436302135164</v>
      </c>
      <c r="M106" s="17">
        <f>'Datos Actividad'!$X102*'FE Sectorial'!$H105*'FE Sectorial'!N105/1000/1000</f>
        <v>548.22181510675819</v>
      </c>
      <c r="N106" s="17">
        <f>'Datos Actividad'!$X102*'FE Sectorial'!$H105*'FE Sectorial'!O105/1000/1000</f>
        <v>497.25334703560827</v>
      </c>
      <c r="O106" s="87">
        <f>IF(D106&lt;400,H106+I106*'Factores generales'!$M$41+J106*'Factores generales'!$N$41,I106*'Factores generales'!$M$41+J106*'Factores generales'!$N$41)</f>
        <v>783030.70073513372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31460433.917408135</v>
      </c>
      <c r="I107" s="134">
        <f t="shared" si="27"/>
        <v>8512.2786138266802</v>
      </c>
      <c r="J107" s="134">
        <f t="shared" si="27"/>
        <v>2591.3048076599543</v>
      </c>
      <c r="K107" s="134">
        <f t="shared" si="27"/>
        <v>311606.70093104907</v>
      </c>
      <c r="L107" s="134">
        <f t="shared" si="27"/>
        <v>1909256.1531223969</v>
      </c>
      <c r="M107" s="134">
        <f t="shared" si="27"/>
        <v>358794.0432939693</v>
      </c>
      <c r="N107" s="134">
        <f t="shared" si="27"/>
        <v>8630.8561124811367</v>
      </c>
      <c r="O107" s="134">
        <f t="shared" si="27"/>
        <v>32442496.258673079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28985300.865769215</v>
      </c>
      <c r="I108" s="15">
        <f t="shared" ref="I108:O108" si="28">I109+I110+I111+I112+I113</f>
        <v>8380.6925930058969</v>
      </c>
      <c r="J108" s="15">
        <f t="shared" si="28"/>
        <v>2459.7187868391716</v>
      </c>
      <c r="K108" s="15">
        <f t="shared" si="28"/>
        <v>284614.69666011928</v>
      </c>
      <c r="L108" s="15">
        <f t="shared" si="28"/>
        <v>1875516.1477837346</v>
      </c>
      <c r="M108" s="15">
        <f t="shared" si="28"/>
        <v>352046.04222623684</v>
      </c>
      <c r="N108" s="15">
        <f t="shared" si="28"/>
        <v>7406.8001048459491</v>
      </c>
      <c r="O108" s="15">
        <f t="shared" si="28"/>
        <v>29923808.234142479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Actividad'!$X105*'FE Sectorial'!$H108*'FE Sectorial'!I108*'FE Sectorial'!P108/1000</f>
        <v>1465034.541378408</v>
      </c>
      <c r="I109" s="17">
        <f>'Datos Actividad'!$X105*'FE Sectorial'!$H108*'FE Sectorial'!J108/1000/1000</f>
        <v>2414.6253156480002</v>
      </c>
      <c r="J109" s="17">
        <f>'Datos Actividad'!$X105*'FE Sectorial'!$H108*'FE Sectorial'!K108/1000/1000</f>
        <v>78.737782031999998</v>
      </c>
      <c r="K109" s="17">
        <f>'Datos Actividad'!$X105*'FE Sectorial'!$H108*'FE Sectorial'!L108/1000/1000</f>
        <v>15747.556406399999</v>
      </c>
      <c r="L109" s="17">
        <f>'Datos Actividad'!$X105*'FE Sectorial'!$H108*'FE Sectorial'!M108/1000/1000</f>
        <v>10498.370937600001</v>
      </c>
      <c r="M109" s="17">
        <f>'Datos Actividad'!$X105*'FE Sectorial'!$H108*'FE Sectorial'!N108/1000/1000</f>
        <v>131.22963672</v>
      </c>
      <c r="N109" s="17">
        <f>'Datos Actividad'!$X105*'FE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1540150.385436936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Actividad'!$X106*'FE Sectorial'!$H109*'FE Sectorial'!I109*'FE Sectorial'!P109/1000</f>
        <v>13051912.565515067</v>
      </c>
      <c r="I110" s="17">
        <f>'Datos Actividad'!$X106*'FE Sectorial'!$H109*'FE Sectorial'!J109/1000/1000</f>
        <v>693.8815824303598</v>
      </c>
      <c r="J110" s="17">
        <f>'Datos Actividad'!$X106*'FE Sectorial'!$H109*'FE Sectorial'!K109/1000/1000</f>
        <v>693.8815824303598</v>
      </c>
      <c r="K110" s="17">
        <f>'Datos Actividad'!$X106*'FE Sectorial'!$H109*'FE Sectorial'!L109/1000/1000</f>
        <v>142334.68357545845</v>
      </c>
      <c r="L110" s="17">
        <f>'Datos Actividad'!$X106*'FE Sectorial'!$H109*'FE Sectorial'!M109/1000/1000</f>
        <v>177918.35446932304</v>
      </c>
      <c r="M110" s="17">
        <f>'Datos Actividad'!$X106*'FE Sectorial'!$H109*'FE Sectorial'!N109/1000/1000</f>
        <v>35583.670893864612</v>
      </c>
      <c r="N110" s="17">
        <f>'Datos Actividad'!$X106*'FE Sectorial'!$H109*'FE Sectorial'!O109/1000/1000</f>
        <v>6454.7123947010214</v>
      </c>
      <c r="O110" s="87">
        <f>IF(D110&lt;400,H110+I110*'Factores generales'!$M$41+J110*'Factores generales'!$N$41,I110*'Factores generales'!$M$41+J110*'Factores generales'!$N$41)</f>
        <v>13281587.369299516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Actividad'!$X107*'FE Sectorial'!$H110*'FE Sectorial'!I110*'FE Sectorial'!P110/1000</f>
        <v>14468353.758875737</v>
      </c>
      <c r="I111" s="17">
        <f>'Datos Actividad'!$X107*'FE Sectorial'!$H110*'FE Sectorial'!J110/1000/1000</f>
        <v>5272.1856949275361</v>
      </c>
      <c r="J111" s="17">
        <f>'Datos Actividad'!$X107*'FE Sectorial'!$H110*'FE Sectorial'!K110/1000/1000</f>
        <v>1687.0994223768116</v>
      </c>
      <c r="K111" s="17">
        <f>'Datos Actividad'!$X107*'FE Sectorial'!$H110*'FE Sectorial'!L110/1000/1000</f>
        <v>126532.45667826086</v>
      </c>
      <c r="L111" s="17">
        <f>'Datos Actividad'!$X107*'FE Sectorial'!$H110*'FE Sectorial'!M110/1000/1000</f>
        <v>1687099.4223768115</v>
      </c>
      <c r="M111" s="17">
        <f>'Datos Actividad'!$X107*'FE Sectorial'!$H110*'FE Sectorial'!N110/1000/1000</f>
        <v>316331.14169565222</v>
      </c>
      <c r="N111" s="17">
        <f>'Datos Actividad'!$X107*'FE Sectorial'!$H110*'FE Sectorial'!O110/1000/1000</f>
        <v>952.08771014492754</v>
      </c>
      <c r="O111" s="87">
        <f>IF(D111&lt;400,H111+I111*'Factores generales'!$M$41+J111*'Factores generales'!$N$41,I111*'Factores generales'!$M$41+J111*'Factores generales'!$N$41)</f>
        <v>15102070.479406027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Actividad'!$X108*'FE Sectorial'!$H111*'FE Sectorial'!I111*'FE Sectorial'!P111/1000</f>
        <v>0</v>
      </c>
      <c r="I112" s="17">
        <f>'Datos Actividad'!$X108*'FE Sectorial'!$H111*'FE Sectorial'!J111/1000/1000</f>
        <v>0</v>
      </c>
      <c r="J112" s="17">
        <f>'Datos Actividad'!$X108*'FE Sectorial'!$H111*'FE Sectorial'!K111/1000/1000</f>
        <v>0</v>
      </c>
      <c r="K112" s="17">
        <f>'Datos Actividad'!$X108*'FE Sectorial'!$H111*'FE Sectorial'!L111/1000/1000</f>
        <v>0</v>
      </c>
      <c r="L112" s="17">
        <f>'Datos Actividad'!$X108*'FE Sectorial'!$H111*'FE Sectorial'!M111/1000/1000</f>
        <v>0</v>
      </c>
      <c r="M112" s="17">
        <f>'Datos Actividad'!$X108*'FE Sectorial'!$H111*'FE Sectorial'!N111/1000/1000</f>
        <v>0</v>
      </c>
      <c r="N112" s="17">
        <f>'Datos Actividad'!$X108*'FE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Actividad'!$X109*'FE Sectorial'!$H112*'FE Sectorial'!I112*'FE Sectorial'!P112/1000</f>
        <v>0</v>
      </c>
      <c r="I113" s="17">
        <f>'Datos Actividad'!$X109*'FE Sectorial'!$H112*'FE Sectorial'!J112/1000/1000</f>
        <v>0</v>
      </c>
      <c r="J113" s="17">
        <f>'Datos Actividad'!$X109*'FE Sectorial'!$H112*'FE Sectorial'!K112/1000/1000</f>
        <v>0</v>
      </c>
      <c r="K113" s="17">
        <f>'Datos Actividad'!$X109*'FE Sectorial'!$H112*'FE Sectorial'!L112/1000/1000</f>
        <v>0</v>
      </c>
      <c r="L113" s="17">
        <f>'Datos Actividad'!$X109*'FE Sectorial'!$H112*'FE Sectorial'!M112/1000/1000</f>
        <v>0</v>
      </c>
      <c r="M113" s="17">
        <f>'Datos Actividad'!$X109*'FE Sectorial'!$H112*'FE Sectorial'!N112/1000/1000</f>
        <v>0</v>
      </c>
      <c r="N113" s="17">
        <f>'Datos Actividad'!$X109*'FE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2475133.0516389213</v>
      </c>
      <c r="I114" s="15">
        <f t="shared" ref="I114:O114" si="29">I115</f>
        <v>131.58602082078264</v>
      </c>
      <c r="J114" s="15">
        <f t="shared" si="29"/>
        <v>131.58602082078264</v>
      </c>
      <c r="K114" s="15">
        <f t="shared" si="29"/>
        <v>26992.004270929774</v>
      </c>
      <c r="L114" s="15">
        <f t="shared" si="29"/>
        <v>33740.005338662217</v>
      </c>
      <c r="M114" s="15">
        <f t="shared" si="29"/>
        <v>6748.0010677324435</v>
      </c>
      <c r="N114" s="15">
        <f t="shared" si="29"/>
        <v>1224.0560076351874</v>
      </c>
      <c r="O114" s="15">
        <f t="shared" si="29"/>
        <v>2518688.0245306003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Actividad'!$X111*'FE Sectorial'!$H114*'FE Sectorial'!I114*'FE Sectorial'!P114/1000</f>
        <v>2475133.0516389213</v>
      </c>
      <c r="I115" s="17">
        <f>'Datos Actividad'!$X111*'FE Sectorial'!$H114*'FE Sectorial'!J114/1000/1000</f>
        <v>131.58602082078264</v>
      </c>
      <c r="J115" s="17">
        <f>'Datos Actividad'!$X111*'FE Sectorial'!$H114*'FE Sectorial'!K114/1000/1000</f>
        <v>131.58602082078264</v>
      </c>
      <c r="K115" s="17">
        <f>'Datos Actividad'!$X111*'FE Sectorial'!$H114*'FE Sectorial'!L114/1000/1000</f>
        <v>26992.004270929774</v>
      </c>
      <c r="L115" s="17">
        <f>'Datos Actividad'!$X111*'FE Sectorial'!$H114*'FE Sectorial'!M114/1000/1000</f>
        <v>33740.005338662217</v>
      </c>
      <c r="M115" s="17">
        <f>'Datos Actividad'!$X111*'FE Sectorial'!$H114*'FE Sectorial'!N114/1000/1000</f>
        <v>6748.0010677324435</v>
      </c>
      <c r="N115" s="17">
        <f>'Datos Actividad'!$X111*'FE Sectorial'!$H114*'FE Sectorial'!O114/1000/1000</f>
        <v>1224.0560076351874</v>
      </c>
      <c r="O115" s="87">
        <f>IF(D115&lt;400,H115+I115*'Factores generales'!$M$41+J115*'Factores generales'!$N$41,I115*'Factores generales'!$M$41+J115*'Factores generales'!$N$41)</f>
        <v>2518688.0245306003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488177.58232861495</v>
      </c>
      <c r="I116" s="134">
        <f t="shared" ref="I116:O116" si="30">I117</f>
        <v>27.616747320216362</v>
      </c>
      <c r="J116" s="134">
        <f t="shared" si="30"/>
        <v>190.32264418269591</v>
      </c>
      <c r="K116" s="134">
        <f t="shared" si="30"/>
        <v>7985.5654901830449</v>
      </c>
      <c r="L116" s="134">
        <f t="shared" si="30"/>
        <v>6654.6379084858709</v>
      </c>
      <c r="M116" s="134">
        <f t="shared" si="30"/>
        <v>1330.9275816971742</v>
      </c>
      <c r="N116" s="134">
        <f t="shared" si="30"/>
        <v>241.42407295902228</v>
      </c>
      <c r="O116" s="134">
        <f t="shared" si="30"/>
        <v>547757.55371897528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Actividad'!$X113*'FE Sectorial'!$H116*'FE Sectorial'!I116*'FE Sectorial'!P116/1000</f>
        <v>488177.58232861495</v>
      </c>
      <c r="I117" s="17">
        <f>'Datos Actividad'!$X113*'FE Sectorial'!$H116*'FE Sectorial'!J116/1000/1000</f>
        <v>27.616747320216362</v>
      </c>
      <c r="J117" s="17">
        <f>'Datos Actividad'!$X113*'FE Sectorial'!$H116*'FE Sectorial'!K116/1000/1000</f>
        <v>190.32264418269591</v>
      </c>
      <c r="K117" s="17">
        <f>'Datos Actividad'!$X113*'FE Sectorial'!$H116*'FE Sectorial'!L116/1000/1000</f>
        <v>7985.5654901830449</v>
      </c>
      <c r="L117" s="17">
        <f>'Datos Actividad'!$X113*'FE Sectorial'!$H116*'FE Sectorial'!M116/1000/1000</f>
        <v>6654.6379084858709</v>
      </c>
      <c r="M117" s="17">
        <f>'Datos Actividad'!$X113*'FE Sectorial'!$H116*'FE Sectorial'!N116/1000/1000</f>
        <v>1330.9275816971742</v>
      </c>
      <c r="N117" s="17">
        <f>'Datos Actividad'!$X113*'FE Sectorial'!$H116*'FE Sectorial'!O116/1000/1000</f>
        <v>241.42407295902228</v>
      </c>
      <c r="O117" s="87">
        <f>IF(D117&lt;400,H117+I117*'Factores generales'!$M$41+J117*'Factores generales'!$N$41,I117*'Factores generales'!$M$41+J117*'Factores generales'!$N$41)</f>
        <v>547757.55371897528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186580.58437151299</v>
      </c>
      <c r="I118" s="134">
        <f t="shared" ref="I118:O118" si="31">I122</f>
        <v>17.565700690584535</v>
      </c>
      <c r="J118" s="134">
        <f t="shared" si="31"/>
        <v>5.0187716258812953</v>
      </c>
      <c r="K118" s="134">
        <f t="shared" si="31"/>
        <v>3764.0787194109716</v>
      </c>
      <c r="L118" s="134">
        <f t="shared" si="31"/>
        <v>2509.3858129406481</v>
      </c>
      <c r="M118" s="134">
        <f t="shared" si="31"/>
        <v>501.87716258812958</v>
      </c>
      <c r="N118" s="134">
        <f t="shared" si="31"/>
        <v>214.53693646947465</v>
      </c>
      <c r="O118" s="134">
        <f t="shared" si="31"/>
        <v>188505.28329003847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1030558.7312459999</v>
      </c>
      <c r="I119" s="15">
        <f t="shared" ref="I119:O119" si="32">I120+I121</f>
        <v>95.580197999999996</v>
      </c>
      <c r="J119" s="15">
        <f t="shared" si="32"/>
        <v>27.308627999999999</v>
      </c>
      <c r="K119" s="15">
        <f t="shared" si="32"/>
        <v>20481.471000000001</v>
      </c>
      <c r="L119" s="15">
        <f t="shared" si="32"/>
        <v>13654.313999999998</v>
      </c>
      <c r="M119" s="15">
        <f t="shared" si="32"/>
        <v>2730.8627999999999</v>
      </c>
      <c r="N119" s="15">
        <f t="shared" si="32"/>
        <v>1925.7296799999999</v>
      </c>
      <c r="O119" s="15">
        <f t="shared" si="32"/>
        <v>1041031.590084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Actividad'!$X116*'FE Sectorial'!$H119*'FE Sectorial'!I119*'FE Sectorial'!P119/1000</f>
        <v>352912.102686</v>
      </c>
      <c r="I120" s="17">
        <f>'Datos Actividad'!$X116*'FE Sectorial'!$H119*'FE Sectorial'!J119/1000/1000</f>
        <v>33.675277999999999</v>
      </c>
      <c r="J120" s="17">
        <f>'Datos Actividad'!$X116*'FE Sectorial'!$H119*'FE Sectorial'!K119/1000/1000</f>
        <v>9.6215080000000004</v>
      </c>
      <c r="K120" s="17">
        <f>'Datos Actividad'!$X116*'FE Sectorial'!$H119*'FE Sectorial'!L119/1000/1000</f>
        <v>7216.1310000000003</v>
      </c>
      <c r="L120" s="17">
        <f>'Datos Actividad'!$X116*'FE Sectorial'!$H119*'FE Sectorial'!M119/1000/1000</f>
        <v>4810.7539999999999</v>
      </c>
      <c r="M120" s="17">
        <f>'Datos Actividad'!$X116*'FE Sectorial'!$H119*'FE Sectorial'!N119/1000/1000</f>
        <v>962.1508</v>
      </c>
      <c r="N120" s="17">
        <f>'Datos Actividad'!$X116*'FE Sectorial'!$H119*'FE Sectorial'!O119/1000/1000</f>
        <v>174.52967999999998</v>
      </c>
      <c r="O120" s="87">
        <f>IF(D120&lt;400,H120+I120*'Factores generales'!$M$41+J120*'Factores generales'!$N$41,I120*'Factores generales'!$M$41+J120*'Factores generales'!$N$41)</f>
        <v>356601.95100399997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Actividad'!$X117*'FE Sectorial'!$H120*'FE Sectorial'!I120*'FE Sectorial'!P120/1000</f>
        <v>677646.62855999998</v>
      </c>
      <c r="I121" s="17">
        <f>'Datos Actividad'!$X117*'FE Sectorial'!$H120*'FE Sectorial'!J120/1000/1000</f>
        <v>61.904919999999997</v>
      </c>
      <c r="J121" s="17">
        <f>'Datos Actividad'!$X117*'FE Sectorial'!$H120*'FE Sectorial'!K120/1000/1000</f>
        <v>17.68712</v>
      </c>
      <c r="K121" s="17">
        <f>'Datos Actividad'!$X117*'FE Sectorial'!$H120*'FE Sectorial'!L120/1000/1000</f>
        <v>13265.34</v>
      </c>
      <c r="L121" s="17">
        <f>'Datos Actividad'!$X117*'FE Sectorial'!$H120*'FE Sectorial'!M120/1000/1000</f>
        <v>8843.56</v>
      </c>
      <c r="M121" s="17">
        <f>'Datos Actividad'!$X117*'FE Sectorial'!$H120*'FE Sectorial'!N120/1000/1000</f>
        <v>1768.712</v>
      </c>
      <c r="N121" s="17">
        <f>'Datos Actividad'!$X117*'FE Sectorial'!$H120*'FE Sectorial'!O120/1000/1000</f>
        <v>1751.2</v>
      </c>
      <c r="O121" s="87">
        <f>IF(D121&lt;400,H121+I121*'Factores generales'!$M$41+J121*'Factores generales'!$N$41,I121*'Factores generales'!$M$41+J121*'Factores generales'!$N$41)</f>
        <v>684429.63907999999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186580.58437151299</v>
      </c>
      <c r="I122" s="15">
        <f t="shared" ref="I122:O122" si="33">I123+I124</f>
        <v>17.565700690584535</v>
      </c>
      <c r="J122" s="15">
        <f t="shared" si="33"/>
        <v>5.0187716258812953</v>
      </c>
      <c r="K122" s="15">
        <f t="shared" si="33"/>
        <v>3764.0787194109716</v>
      </c>
      <c r="L122" s="15">
        <f t="shared" si="33"/>
        <v>2509.3858129406481</v>
      </c>
      <c r="M122" s="15">
        <f t="shared" si="33"/>
        <v>501.87716258812958</v>
      </c>
      <c r="N122" s="15">
        <f t="shared" si="33"/>
        <v>214.53693646947465</v>
      </c>
      <c r="O122" s="15">
        <f t="shared" si="33"/>
        <v>188505.28329003847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Actividad'!$X119*'FE Sectorial'!$H122*'FE Sectorial'!I122*'FE Sectorial'!P122/1000</f>
        <v>128072.03581151296</v>
      </c>
      <c r="I123" s="17">
        <f>'Datos Actividad'!$X119*'FE Sectorial'!$H122*'FE Sectorial'!J122/1000/1000</f>
        <v>12.220780690584535</v>
      </c>
      <c r="J123" s="17">
        <f>'Datos Actividad'!$X119*'FE Sectorial'!$H122*'FE Sectorial'!K122/1000/1000</f>
        <v>3.4916516258812957</v>
      </c>
      <c r="K123" s="17">
        <f>'Datos Actividad'!$X119*'FE Sectorial'!$H122*'FE Sectorial'!L122/1000/1000</f>
        <v>2618.738719410972</v>
      </c>
      <c r="L123" s="17">
        <f>'Datos Actividad'!$X119*'FE Sectorial'!$H122*'FE Sectorial'!M122/1000/1000</f>
        <v>1745.8258129406479</v>
      </c>
      <c r="M123" s="17">
        <f>'Datos Actividad'!$X119*'FE Sectorial'!$H122*'FE Sectorial'!N122/1000/1000</f>
        <v>349.16516258812959</v>
      </c>
      <c r="N123" s="17">
        <f>'Datos Actividad'!$X119*'FE Sectorial'!$H122*'FE Sectorial'!O122/1000/1000</f>
        <v>63.336936469474672</v>
      </c>
      <c r="O123" s="87">
        <f>IF(D123&lt;400,H123+I123*'Factores generales'!$M$41+J123*'Factores generales'!$N$41,I123*'Factores generales'!$M$41+J123*'Factores generales'!$N$41)</f>
        <v>129411.08421003845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Actividad'!$X120*'FE Sectorial'!$H123*'FE Sectorial'!I123*'FE Sectorial'!P123/1000</f>
        <v>58508.54856000001</v>
      </c>
      <c r="I124" s="17">
        <f>'Datos Actividad'!$X120*'FE Sectorial'!$H123*'FE Sectorial'!J123/1000/1000</f>
        <v>5.3449200000000001</v>
      </c>
      <c r="J124" s="17">
        <f>'Datos Actividad'!$X120*'FE Sectorial'!$H123*'FE Sectorial'!K123/1000/1000</f>
        <v>1.5271199999999998</v>
      </c>
      <c r="K124" s="17">
        <f>'Datos Actividad'!$X120*'FE Sectorial'!$H123*'FE Sectorial'!L123/1000/1000</f>
        <v>1145.3399999999999</v>
      </c>
      <c r="L124" s="17">
        <f>'Datos Actividad'!$X120*'FE Sectorial'!$H123*'FE Sectorial'!M123/1000/1000</f>
        <v>763.56</v>
      </c>
      <c r="M124" s="17">
        <f>'Datos Actividad'!$X120*'FE Sectorial'!$H123*'FE Sectorial'!N123/1000/1000</f>
        <v>152.71199999999999</v>
      </c>
      <c r="N124" s="17">
        <f>'Datos Actividad'!$X120*'FE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1450498.2699873596</v>
      </c>
      <c r="I125" s="134">
        <f t="shared" si="34"/>
        <v>26.101313279999996</v>
      </c>
      <c r="J125" s="134">
        <f t="shared" si="34"/>
        <v>2.6325773279999996</v>
      </c>
      <c r="K125" s="134">
        <f t="shared" si="34"/>
        <v>3896.4919919999993</v>
      </c>
      <c r="L125" s="134">
        <f t="shared" si="34"/>
        <v>518.65936559999989</v>
      </c>
      <c r="M125" s="134">
        <f t="shared" si="34"/>
        <v>129.75836639999997</v>
      </c>
      <c r="N125" s="134">
        <f t="shared" si="34"/>
        <v>2.7143999999999999</v>
      </c>
      <c r="O125" s="134">
        <f t="shared" si="34"/>
        <v>1451862.4965379194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1450498.2699873596</v>
      </c>
      <c r="I126" s="15">
        <f t="shared" si="35"/>
        <v>26.101313279999996</v>
      </c>
      <c r="J126" s="15">
        <f t="shared" si="35"/>
        <v>2.6325773279999996</v>
      </c>
      <c r="K126" s="15">
        <f t="shared" si="35"/>
        <v>3896.4919919999993</v>
      </c>
      <c r="L126" s="15">
        <f t="shared" si="35"/>
        <v>518.65936559999989</v>
      </c>
      <c r="M126" s="15">
        <f t="shared" si="35"/>
        <v>129.75836639999997</v>
      </c>
      <c r="N126" s="15">
        <f t="shared" si="35"/>
        <v>2.7143999999999999</v>
      </c>
      <c r="O126" s="15">
        <f t="shared" si="35"/>
        <v>1451862.4965379194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Actividad'!$X123*'FE Sectorial'!$H126*'FE Sectorial'!I126*'FE Sectorial'!P126/1000</f>
        <v>1422870.4925423996</v>
      </c>
      <c r="I127" s="17">
        <f>'Datos Actividad'!$X123*'FE Sectorial'!$H126*'FE Sectorial'!J126/1000/1000</f>
        <v>25.490563199999997</v>
      </c>
      <c r="J127" s="17">
        <f>'Datos Actividad'!$X123*'FE Sectorial'!$H126*'FE Sectorial'!K126/1000/1000</f>
        <v>2.5490563199999996</v>
      </c>
      <c r="K127" s="17">
        <f>'Datos Actividad'!$X123*'FE Sectorial'!$H126*'FE Sectorial'!L126/1000/1000</f>
        <v>3823.5844799999995</v>
      </c>
      <c r="L127" s="17">
        <f>'Datos Actividad'!$X123*'FE Sectorial'!$H126*'FE Sectorial'!M126/1000/1000</f>
        <v>509.81126399999988</v>
      </c>
      <c r="M127" s="17">
        <f>'Datos Actividad'!$X123*'FE Sectorial'!$H126*'FE Sectorial'!N126/1000/1000</f>
        <v>127.45281599999997</v>
      </c>
      <c r="N127" s="17">
        <f>'Datos Actividad'!$X123*'FE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1424196.0018287995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Actividad'!$X124*'FE Sectorial'!$H127*'FE Sectorial'!I127*'FE Sectorial'!P127/1000</f>
        <v>5488.7203799999997</v>
      </c>
      <c r="I128" s="17">
        <f>'Datos Actividad'!$X124*'FE Sectorial'!$H127*'FE Sectorial'!J127/1000/1000</f>
        <v>0.22446000000000002</v>
      </c>
      <c r="J128" s="17">
        <f>'Datos Actividad'!$X124*'FE Sectorial'!$H127*'FE Sectorial'!K127/1000/1000</f>
        <v>4.4892000000000001E-2</v>
      </c>
      <c r="K128" s="17">
        <f>'Datos Actividad'!$X124*'FE Sectorial'!$H127*'FE Sectorial'!L127/1000/1000</f>
        <v>14.964</v>
      </c>
      <c r="L128" s="17">
        <f>'Datos Actividad'!$X124*'FE Sectorial'!$H127*'FE Sectorial'!M127/1000/1000</f>
        <v>1.1222999999999999</v>
      </c>
      <c r="M128" s="17">
        <f>'Datos Actividad'!$X124*'FE Sectorial'!$H127*'FE Sectorial'!N127/1000/1000</f>
        <v>0.37410000000000004</v>
      </c>
      <c r="N128" s="17">
        <f>'Datos Actividad'!$X124*'FE Sectorial'!$H127*'FE Sectorial'!O127/1000/1000</f>
        <v>2.7143999999999999</v>
      </c>
      <c r="O128" s="87">
        <f>IF(D128&lt;400,H128+I128*'Factores generales'!$M$41+J128*'Factores generales'!$N$41,I128*'Factores generales'!$M$41+J128*'Factores generales'!$N$41)</f>
        <v>5507.3505599999999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Actividad'!$X125*'FE Sectorial'!$H128*'FE Sectorial'!I128*'FE Sectorial'!P128/1000</f>
        <v>22139.057064960001</v>
      </c>
      <c r="I129" s="17">
        <f>'Datos Actividad'!$X125*'FE Sectorial'!$H128*'FE Sectorial'!J128/1000/1000</f>
        <v>0.38629007999999998</v>
      </c>
      <c r="J129" s="17">
        <f>'Datos Actividad'!$X125*'FE Sectorial'!$H128*'FE Sectorial'!K128/1000/1000</f>
        <v>3.8629007999999999E-2</v>
      </c>
      <c r="K129" s="17">
        <f>'Datos Actividad'!$X125*'FE Sectorial'!$H128*'FE Sectorial'!L128/1000/1000</f>
        <v>57.943512000000005</v>
      </c>
      <c r="L129" s="17">
        <f>'Datos Actividad'!$X125*'FE Sectorial'!$H128*'FE Sectorial'!M128/1000/1000</f>
        <v>7.7258016000000005</v>
      </c>
      <c r="M129" s="17">
        <f>'Datos Actividad'!$X125*'FE Sectorial'!$H128*'FE Sectorial'!N128/1000/1000</f>
        <v>1.9314504000000001</v>
      </c>
      <c r="N129" s="17">
        <f>'Datos Actividad'!$X125*'FE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22159.144149120002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24457621.87649082</v>
      </c>
      <c r="I131" s="129">
        <f t="shared" si="36"/>
        <v>3182.8941271031454</v>
      </c>
      <c r="J131" s="129">
        <f t="shared" si="36"/>
        <v>203.91914095577431</v>
      </c>
      <c r="K131" s="129">
        <f t="shared" si="36"/>
        <v>150314.73003400408</v>
      </c>
      <c r="L131" s="129">
        <f t="shared" si="36"/>
        <v>258046.39548800711</v>
      </c>
      <c r="M131" s="129">
        <f t="shared" si="36"/>
        <v>29903.453419490601</v>
      </c>
      <c r="N131" s="129">
        <f t="shared" si="36"/>
        <v>8707.4955102383774</v>
      </c>
      <c r="O131" s="129">
        <f t="shared" si="36"/>
        <v>24587677.58685628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3320894.6910187406</v>
      </c>
      <c r="I132" s="134">
        <f>SUM(I133:I137)</f>
        <v>69.258719487445617</v>
      </c>
      <c r="J132" s="134">
        <f t="shared" ref="J132:O132" si="37">SUM(J133:J137)</f>
        <v>8.694588125215148</v>
      </c>
      <c r="K132" s="134">
        <f t="shared" si="37"/>
        <v>8325.3057172344888</v>
      </c>
      <c r="L132" s="134">
        <f t="shared" si="37"/>
        <v>2696.4922979016924</v>
      </c>
      <c r="M132" s="134">
        <f t="shared" si="37"/>
        <v>287.33639155487515</v>
      </c>
      <c r="N132" s="134">
        <f t="shared" si="37"/>
        <v>281.01049830781631</v>
      </c>
      <c r="O132" s="134">
        <f t="shared" si="37"/>
        <v>3325044.4464467936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Actividad'!$X129*'FE Sectorial'!$H132*'FE Sectorial'!I132*'FE Sectorial'!P132/1000</f>
        <v>0</v>
      </c>
      <c r="I133" s="17">
        <f>'Datos Actividad'!$X129*'FE Sectorial'!$H132*'FE Sectorial'!J132/1000/1000</f>
        <v>0</v>
      </c>
      <c r="J133" s="17">
        <f>'Datos Actividad'!$X129*'FE Sectorial'!$H132*'FE Sectorial'!K132/1000/1000</f>
        <v>0</v>
      </c>
      <c r="K133" s="17">
        <f>'Datos Actividad'!$X129*'FE Sectorial'!$H132*'FE Sectorial'!L132/1000/1000</f>
        <v>0</v>
      </c>
      <c r="L133" s="17">
        <f>'Datos Actividad'!$X129*'FE Sectorial'!$H132*'FE Sectorial'!M132/1000/1000</f>
        <v>0</v>
      </c>
      <c r="M133" s="17">
        <f>'Datos Actividad'!$X129*'FE Sectorial'!$H132*'FE Sectorial'!N132/1000/1000</f>
        <v>0</v>
      </c>
      <c r="N133" s="17">
        <f>'Datos Actividad'!$X129*'FE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Actividad'!$X130*'FE Sectorial'!$H133*'FE Sectorial'!I133*'FE Sectorial'!P133/1000</f>
        <v>2807809.3306058398</v>
      </c>
      <c r="I134" s="17">
        <f>'Datos Actividad'!$X130*'FE Sectorial'!$H133*'FE Sectorial'!J133/1000/1000</f>
        <v>50.301585119999999</v>
      </c>
      <c r="J134" s="17">
        <f>'Datos Actividad'!$X130*'FE Sectorial'!$H133*'FE Sectorial'!K133/1000/1000</f>
        <v>5.0301585119999999</v>
      </c>
      <c r="K134" s="17">
        <f>'Datos Actividad'!$X130*'FE Sectorial'!$H133*'FE Sectorial'!L133/1000/1000</f>
        <v>7545.237768</v>
      </c>
      <c r="L134" s="17">
        <f>'Datos Actividad'!$X130*'FE Sectorial'!$H133*'FE Sectorial'!M133/1000/1000</f>
        <v>2515.079256</v>
      </c>
      <c r="M134" s="17">
        <f>'Datos Actividad'!$X130*'FE Sectorial'!$H133*'FE Sectorial'!N133/1000/1000</f>
        <v>251.50792559999999</v>
      </c>
      <c r="N134" s="17">
        <f>'Datos Actividad'!$X130*'FE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2810425.0130320797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Actividad'!$X131*'FE Sectorial'!$H134*'FE Sectorial'!I134*'FE Sectorial'!P134/1000</f>
        <v>79333.918520547944</v>
      </c>
      <c r="I135" s="17">
        <f>'Datos Actividad'!$X131*'FE Sectorial'!$H134*'FE Sectorial'!J134/1000/1000</f>
        <v>1.269972602739726</v>
      </c>
      <c r="J135" s="17">
        <f>'Datos Actividad'!$X131*'FE Sectorial'!$H134*'FE Sectorial'!K134/1000/1000</f>
        <v>0.1269972602739726</v>
      </c>
      <c r="K135" s="17">
        <f>'Datos Actividad'!$X131*'FE Sectorial'!$H134*'FE Sectorial'!L134/1000/1000</f>
        <v>190.49589041095888</v>
      </c>
      <c r="L135" s="17">
        <f>'Datos Actividad'!$X131*'FE Sectorial'!$H134*'FE Sectorial'!M134/1000/1000</f>
        <v>63.4986301369863</v>
      </c>
      <c r="M135" s="17">
        <f>'Datos Actividad'!$X131*'FE Sectorial'!$H134*'FE Sectorial'!N134/1000/1000</f>
        <v>6.3498630136986307</v>
      </c>
      <c r="N135" s="17">
        <f>'Datos Actividad'!$X131*'FE Sectorial'!$H134*'FE Sectorial'!O134/1000/1000</f>
        <v>5.3698630136986312</v>
      </c>
      <c r="O135" s="87">
        <f>IF(D135&lt;400,H135+I135*'Factores generales'!$M$41+J135*'Factores generales'!$N$41,I135*'Factores generales'!$M$41+J135*'Factores generales'!$N$41)</f>
        <v>79399.957095890408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Actividad'!$X132*'FE Sectorial'!$H135*'FE Sectorial'!I135*'FE Sectorial'!P135/1000</f>
        <v>404497.16761235293</v>
      </c>
      <c r="I136" s="17">
        <f>'Datos Actividad'!$X132*'FE Sectorial'!$H135*'FE Sectorial'!J135/1000/1000</f>
        <v>16.541821764705883</v>
      </c>
      <c r="J136" s="17">
        <f>'Datos Actividad'!$X132*'FE Sectorial'!$H135*'FE Sectorial'!K135/1000/1000</f>
        <v>3.3083643529411764</v>
      </c>
      <c r="K136" s="17">
        <f>'Datos Actividad'!$X132*'FE Sectorial'!$H135*'FE Sectorial'!L135/1000/1000</f>
        <v>551.39405882352946</v>
      </c>
      <c r="L136" s="17">
        <f>'Datos Actividad'!$X132*'FE Sectorial'!$H135*'FE Sectorial'!M135/1000/1000</f>
        <v>110.27881176470589</v>
      </c>
      <c r="M136" s="17">
        <f>'Datos Actividad'!$X132*'FE Sectorial'!$H135*'FE Sectorial'!N135/1000/1000</f>
        <v>27.569702941176473</v>
      </c>
      <c r="N136" s="17">
        <f>'Datos Actividad'!$X132*'FE Sectorial'!$H135*'FE Sectorial'!O135/1000/1000</f>
        <v>200.04063529411766</v>
      </c>
      <c r="O136" s="87">
        <f>IF(D136&lt;400,H136+I136*'Factores generales'!$M$41+J136*'Factores generales'!$N$41,I136*'Factores generales'!$M$41+J136*'Factores generales'!$N$41)</f>
        <v>405870.13881882356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Actividad'!$X133*'FE Sectorial'!$H136*'FE Sectorial'!I136*'FE Sectorial'!P136/1000</f>
        <v>29254.274280000009</v>
      </c>
      <c r="I137" s="17">
        <f>'Datos Actividad'!$X133*'FE Sectorial'!$H136*'FE Sectorial'!J136/1000/1000</f>
        <v>1.1453400000000002</v>
      </c>
      <c r="J137" s="17">
        <f>'Datos Actividad'!$X133*'FE Sectorial'!$H136*'FE Sectorial'!K136/1000/1000</f>
        <v>0.22906800000000005</v>
      </c>
      <c r="K137" s="17">
        <f>'Datos Actividad'!$X133*'FE Sectorial'!$H136*'FE Sectorial'!L136/1000/1000</f>
        <v>38.178000000000004</v>
      </c>
      <c r="L137" s="17">
        <f>'Datos Actividad'!$X133*'FE Sectorial'!$H136*'FE Sectorial'!M136/1000/1000</f>
        <v>7.6356000000000011</v>
      </c>
      <c r="M137" s="17">
        <f>'Datos Actividad'!$X133*'FE Sectorial'!$H136*'FE Sectorial'!N136/1000/1000</f>
        <v>1.9089000000000003</v>
      </c>
      <c r="N137" s="17">
        <f>'Datos Actividad'!$X133*'FE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14948464.011942666</v>
      </c>
      <c r="I138" s="134">
        <f>SUM(I139:I144)</f>
        <v>2860.5677605568762</v>
      </c>
      <c r="J138" s="134">
        <f t="shared" ref="J138:O138" si="38">SUM(J139:J144)</f>
        <v>144.61102341879445</v>
      </c>
      <c r="K138" s="134">
        <f t="shared" si="38"/>
        <v>40762.36549324017</v>
      </c>
      <c r="L138" s="134">
        <f t="shared" si="38"/>
        <v>170994.02083716422</v>
      </c>
      <c r="M138" s="134">
        <f t="shared" si="38"/>
        <v>12744.940557347491</v>
      </c>
      <c r="N138" s="134">
        <f t="shared" si="38"/>
        <v>5366.1320707540908</v>
      </c>
      <c r="O138" s="134">
        <f t="shared" si="38"/>
        <v>15053365.352174189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Actividad'!$X135*'FE Sectorial'!$H138*'FE Sectorial'!I138*'FE Sectorial'!P138/1000</f>
        <v>1693351.2960000006</v>
      </c>
      <c r="I139" s="17">
        <f>'Datos Actividad'!$X135*'FE Sectorial'!$H138*'FE Sectorial'!J138/1000/1000</f>
        <v>521.35200000000009</v>
      </c>
      <c r="J139" s="17">
        <f>'Datos Actividad'!$X135*'FE Sectorial'!$H138*'FE Sectorial'!K138/1000/1000</f>
        <v>69.513600000000025</v>
      </c>
      <c r="K139" s="17">
        <f>'Datos Actividad'!$X135*'FE Sectorial'!$H138*'FE Sectorial'!L138/1000/1000</f>
        <v>1737.8400000000004</v>
      </c>
      <c r="L139" s="17">
        <f>'Datos Actividad'!$X135*'FE Sectorial'!$H138*'FE Sectorial'!M138/1000/1000</f>
        <v>86892.000000000015</v>
      </c>
      <c r="M139" s="17">
        <f>'Datos Actividad'!$X135*'FE Sectorial'!$H138*'FE Sectorial'!N138/1000/1000</f>
        <v>10427.040000000003</v>
      </c>
      <c r="N139" s="17">
        <f>'Datos Actividad'!$X135*'FE Sectorial'!$H138*'FE Sectorial'!O138/1000/1000</f>
        <v>4456.0000000000009</v>
      </c>
      <c r="O139" s="87">
        <f>IF(D139&lt;400,H139+I139*'Factores generales'!$M$41+J139*'Factores generales'!$N$41,I139*'Factores generales'!$M$41+J139*'Factores generales'!$N$41)</f>
        <v>32497.608000000007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Actividad'!$X136*'FE Sectorial'!$H139*'FE Sectorial'!I139*'FE Sectorial'!P139/1000</f>
        <v>0</v>
      </c>
      <c r="I140" s="17">
        <f>'Datos Actividad'!$X136*'FE Sectorial'!$H139*'FE Sectorial'!J139/1000/1000</f>
        <v>0</v>
      </c>
      <c r="J140" s="17">
        <f>'Datos Actividad'!$X136*'FE Sectorial'!$H139*'FE Sectorial'!K139/1000/1000</f>
        <v>0</v>
      </c>
      <c r="K140" s="17">
        <f>'Datos Actividad'!$X136*'FE Sectorial'!$H139*'FE Sectorial'!L139/1000/1000</f>
        <v>0</v>
      </c>
      <c r="L140" s="17">
        <f>'Datos Actividad'!$X136*'FE Sectorial'!$H139*'FE Sectorial'!M139/1000/1000</f>
        <v>0</v>
      </c>
      <c r="M140" s="17">
        <f>'Datos Actividad'!$X136*'FE Sectorial'!$H139*'FE Sectorial'!N139/1000/1000</f>
        <v>0</v>
      </c>
      <c r="N140" s="17">
        <f>'Datos Actividad'!$X136*'FE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Actividad'!$X137*'FE Sectorial'!$H140*'FE Sectorial'!I140*'FE Sectorial'!P140/1000</f>
        <v>11409277.219594058</v>
      </c>
      <c r="I141" s="17">
        <f>'Datos Actividad'!$X137*'FE Sectorial'!$H140*'FE Sectorial'!J140/1000/1000</f>
        <v>204.39590500800003</v>
      </c>
      <c r="J141" s="17">
        <f>'Datos Actividad'!$X137*'FE Sectorial'!$H140*'FE Sectorial'!K140/1000/1000</f>
        <v>20.439590500800001</v>
      </c>
      <c r="K141" s="17">
        <f>'Datos Actividad'!$X137*'FE Sectorial'!$H140*'FE Sectorial'!L140/1000/1000</f>
        <v>30659.385751200003</v>
      </c>
      <c r="L141" s="17">
        <f>'Datos Actividad'!$X137*'FE Sectorial'!$H140*'FE Sectorial'!M140/1000/1000</f>
        <v>10219.7952504</v>
      </c>
      <c r="M141" s="17">
        <f>'Datos Actividad'!$X137*'FE Sectorial'!$H140*'FE Sectorial'!N140/1000/1000</f>
        <v>1021.9795250400001</v>
      </c>
      <c r="N141" s="17">
        <f>'Datos Actividad'!$X137*'FE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11419905.806654474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Actividad'!$X138*'FE Sectorial'!$H141*'FE Sectorial'!I141*'FE Sectorial'!P141/1000</f>
        <v>2368910.8070235611</v>
      </c>
      <c r="I142" s="17">
        <f>'Datos Actividad'!$X138*'FE Sectorial'!$H141*'FE Sectorial'!J141/1000/1000</f>
        <v>37.921381917808212</v>
      </c>
      <c r="J142" s="17">
        <f>'Datos Actividad'!$X138*'FE Sectorial'!$H141*'FE Sectorial'!K141/1000/1000</f>
        <v>3.792138191780821</v>
      </c>
      <c r="K142" s="17">
        <f>'Datos Actividad'!$X138*'FE Sectorial'!$H141*'FE Sectorial'!L141/1000/1000</f>
        <v>5688.2072876712327</v>
      </c>
      <c r="L142" s="17">
        <f>'Datos Actividad'!$X138*'FE Sectorial'!$H141*'FE Sectorial'!M141/1000/1000</f>
        <v>1896.0690958904106</v>
      </c>
      <c r="M142" s="17">
        <f>'Datos Actividad'!$X138*'FE Sectorial'!$H141*'FE Sectorial'!N141/1000/1000</f>
        <v>189.60690958904107</v>
      </c>
      <c r="N142" s="17">
        <f>'Datos Actividad'!$X138*'FE Sectorial'!$H141*'FE Sectorial'!O141/1000/1000</f>
        <v>160.3441095890411</v>
      </c>
      <c r="O142" s="87">
        <f>IF(D142&lt;400,H142+I142*'Factores generales'!$M$41+J142*'Factores generales'!$N$41,I142*'Factores generales'!$M$41+J142*'Factores generales'!$N$41)</f>
        <v>2370882.7188832872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Actividad'!$X139*'FE Sectorial'!$H142*'FE Sectorial'!I142*'FE Sectorial'!P142/1000</f>
        <v>1170275.9853250487</v>
      </c>
      <c r="I143" s="17">
        <f>'Datos Actividad'!$X139*'FE Sectorial'!$H142*'FE Sectorial'!J142/1000/1000</f>
        <v>49.598473631067961</v>
      </c>
      <c r="J143" s="17">
        <f>'Datos Actividad'!$X139*'FE Sectorial'!$H142*'FE Sectorial'!K142/1000/1000</f>
        <v>9.9196947262135904</v>
      </c>
      <c r="K143" s="17">
        <f>'Datos Actividad'!$X139*'FE Sectorial'!$H142*'FE Sectorial'!L142/1000/1000</f>
        <v>1653.2824543689319</v>
      </c>
      <c r="L143" s="17">
        <f>'Datos Actividad'!$X139*'FE Sectorial'!$H142*'FE Sectorial'!M142/1000/1000</f>
        <v>330.65649087378637</v>
      </c>
      <c r="M143" s="17">
        <f>'Datos Actividad'!$X139*'FE Sectorial'!$H142*'FE Sectorial'!N142/1000/1000</f>
        <v>82.664122718446592</v>
      </c>
      <c r="N143" s="17">
        <f>'Datos Actividad'!$X139*'FE Sectorial'!$H142*'FE Sectorial'!O142/1000/1000</f>
        <v>749.7879611650485</v>
      </c>
      <c r="O143" s="87">
        <f>IF(D143&lt;400,H143+I143*'Factores generales'!$M$41+J143*'Factores generales'!$N$41,I143*'Factores generales'!$M$41+J143*'Factores generales'!$N$41)</f>
        <v>1174392.6586364273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Actividad'!$X140*'FE Sectorial'!$H143*'FE Sectorial'!I143*'FE Sectorial'!P143/1000</f>
        <v>997444.56</v>
      </c>
      <c r="I144" s="17">
        <f>'Datos Actividad'!$X140*'FE Sectorial'!$H143*'FE Sectorial'!J143/1000/1000</f>
        <v>2047.3</v>
      </c>
      <c r="J144" s="17">
        <f>'Datos Actividad'!$X140*'FE Sectorial'!$H143*'FE Sectorial'!K143/1000/1000</f>
        <v>40.945999999999998</v>
      </c>
      <c r="K144" s="17">
        <f>'Datos Actividad'!$X140*'FE Sectorial'!$H143*'FE Sectorial'!L143/1000/1000</f>
        <v>1023.65</v>
      </c>
      <c r="L144" s="17">
        <f>'Datos Actividad'!$X140*'FE Sectorial'!$H143*'FE Sectorial'!M143/1000/1000</f>
        <v>71655.5</v>
      </c>
      <c r="M144" s="17">
        <f>'Datos Actividad'!$X140*'FE Sectorial'!$H143*'FE Sectorial'!N143/1000/1000</f>
        <v>1023.65</v>
      </c>
      <c r="N144" s="17">
        <f>'Datos Actividad'!$X140*'FE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55686.559999999998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6188263.1735294126</v>
      </c>
      <c r="I145" s="134">
        <f t="shared" ref="I145:O145" si="39">SUM(I146:I149)</f>
        <v>253.06764705882355</v>
      </c>
      <c r="J145" s="134">
        <f t="shared" si="39"/>
        <v>50.613529411764716</v>
      </c>
      <c r="K145" s="134">
        <f t="shared" si="39"/>
        <v>101227.05882352943</v>
      </c>
      <c r="L145" s="134">
        <f t="shared" si="39"/>
        <v>84355.882352941189</v>
      </c>
      <c r="M145" s="134">
        <f t="shared" si="39"/>
        <v>16871.176470588238</v>
      </c>
      <c r="N145" s="134">
        <f t="shared" si="39"/>
        <v>3060.3529411764707</v>
      </c>
      <c r="O145" s="134">
        <f t="shared" si="39"/>
        <v>6209267.7882352946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Actividad'!$X142*'FE Sectorial'!$H145*'FE Sectorial'!I145*'FE Sectorial'!P145/1000</f>
        <v>0</v>
      </c>
      <c r="I146" s="17">
        <f>'Datos Actividad'!$X142*'FE Sectorial'!$H145*'FE Sectorial'!J145/1000/1000</f>
        <v>0</v>
      </c>
      <c r="J146" s="17">
        <f>'Datos Actividad'!$X142*'FE Sectorial'!$H145*'FE Sectorial'!K145/1000/1000</f>
        <v>0</v>
      </c>
      <c r="K146" s="17">
        <f>'Datos Actividad'!$X142*'FE Sectorial'!$H145*'FE Sectorial'!L145/1000/1000</f>
        <v>0</v>
      </c>
      <c r="L146" s="17">
        <f>'Datos Actividad'!$X142*'FE Sectorial'!$H145*'FE Sectorial'!M145/1000/1000</f>
        <v>0</v>
      </c>
      <c r="M146" s="17">
        <f>'Datos Actividad'!$X142*'FE Sectorial'!$H145*'FE Sectorial'!N145/1000/1000</f>
        <v>0</v>
      </c>
      <c r="N146" s="17">
        <f>'Datos Actividad'!$X142*'FE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Actividad'!$X143*'FE Sectorial'!$H146*'FE Sectorial'!I146*'FE Sectorial'!P146/1000</f>
        <v>0</v>
      </c>
      <c r="I147" s="17">
        <f>'Datos Actividad'!$X143*'FE Sectorial'!$H146*'FE Sectorial'!J146/1000/1000</f>
        <v>0</v>
      </c>
      <c r="J147" s="17">
        <f>'Datos Actividad'!$X143*'FE Sectorial'!$H146*'FE Sectorial'!K146/1000/1000</f>
        <v>0</v>
      </c>
      <c r="K147" s="17">
        <f>'Datos Actividad'!$X143*'FE Sectorial'!$H146*'FE Sectorial'!L146/1000/1000</f>
        <v>0</v>
      </c>
      <c r="L147" s="17">
        <f>'Datos Actividad'!$X143*'FE Sectorial'!$H146*'FE Sectorial'!M146/1000/1000</f>
        <v>0</v>
      </c>
      <c r="M147" s="17">
        <f>'Datos Actividad'!$X143*'FE Sectorial'!$H146*'FE Sectorial'!N146/1000/1000</f>
        <v>0</v>
      </c>
      <c r="N147" s="17">
        <f>'Datos Actividad'!$X143*'FE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Actividad'!$X144*'FE Sectorial'!$H147*'FE Sectorial'!I147*'FE Sectorial'!P147/1000</f>
        <v>6188263.1735294126</v>
      </c>
      <c r="I148" s="17">
        <f>'Datos Actividad'!$X144*'FE Sectorial'!$H147*'FE Sectorial'!J147/1000/1000</f>
        <v>253.06764705882355</v>
      </c>
      <c r="J148" s="17">
        <f>'Datos Actividad'!$X144*'FE Sectorial'!$H147*'FE Sectorial'!K147/1000/1000</f>
        <v>50.613529411764716</v>
      </c>
      <c r="K148" s="17">
        <f>'Datos Actividad'!$X144*'FE Sectorial'!$H147*'FE Sectorial'!L147/1000/1000</f>
        <v>101227.05882352943</v>
      </c>
      <c r="L148" s="17">
        <f>'Datos Actividad'!$X144*'FE Sectorial'!$H147*'FE Sectorial'!M147/1000/1000</f>
        <v>84355.882352941189</v>
      </c>
      <c r="M148" s="17">
        <f>'Datos Actividad'!$X144*'FE Sectorial'!$H147*'FE Sectorial'!N147/1000/1000</f>
        <v>16871.176470588238</v>
      </c>
      <c r="N148" s="17">
        <f>'Datos Actividad'!$X144*'FE Sectorial'!$H147*'FE Sectorial'!O147/1000/1000</f>
        <v>3060.3529411764707</v>
      </c>
      <c r="O148" s="87">
        <f>IF(D148&lt;400,H148+I148*'Factores generales'!$M$41+J148*'Factores generales'!$N$41,I148*'Factores generales'!$M$41+J148*'Factores generales'!$N$41)</f>
        <v>6209267.7882352946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Actividad'!$X145*'FE Sectorial'!$H148*'FE Sectorial'!I148*'FE Sectorial'!P148/1000</f>
        <v>0</v>
      </c>
      <c r="I149" s="17">
        <f>'Datos Actividad'!$X145*'FE Sectorial'!$H148*'FE Sectorial'!J148/1000/1000</f>
        <v>0</v>
      </c>
      <c r="J149" s="17">
        <f>'Datos Actividad'!$X145*'FE Sectorial'!$H148*'FE Sectorial'!K148/1000/1000</f>
        <v>0</v>
      </c>
      <c r="K149" s="17">
        <f>'Datos Actividad'!$X145*'FE Sectorial'!$H148*'FE Sectorial'!L148/1000/1000</f>
        <v>0</v>
      </c>
      <c r="L149" s="17">
        <f>'Datos Actividad'!$X145*'FE Sectorial'!$H148*'FE Sectorial'!M148/1000/1000</f>
        <v>0</v>
      </c>
      <c r="M149" s="17">
        <f>'Datos Actividad'!$X145*'FE Sectorial'!$H148*'FE Sectorial'!N148/1000/1000</f>
        <v>0</v>
      </c>
      <c r="N149" s="17">
        <f>'Datos Actividad'!$X145*'FE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Actividad'!$X147*'FE Sectorial'!$H150*'FE Sectorial'!I150*'FE Sectorial'!P150/1000</f>
        <v>0</v>
      </c>
      <c r="I151" s="134">
        <f>'Datos Actividad'!$X147*'FE Sectorial'!$H150*'FE Sectorial'!J150/1000/1000</f>
        <v>0</v>
      </c>
      <c r="J151" s="134">
        <f>'Datos Actividad'!$X147*'FE Sectorial'!$H150*'FE Sectorial'!K150/1000/1000</f>
        <v>0</v>
      </c>
      <c r="K151" s="134">
        <f>'Datos Actividad'!$X147*'FE Sectorial'!$H150*'FE Sectorial'!L150/1000/1000</f>
        <v>0</v>
      </c>
      <c r="L151" s="134">
        <f>'Datos Actividad'!$X147*'FE Sectorial'!$H150*'FE Sectorial'!M150/1000/1000</f>
        <v>0</v>
      </c>
      <c r="M151" s="134">
        <f>'Datos Actividad'!$X147*'FE Sectorial'!$H150*'FE Sectorial'!N150/1000/1000</f>
        <v>0</v>
      </c>
      <c r="N151" s="134">
        <f>'Datos Actividad'!$X147*'FE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Actividad'!$X148*'FE Sectorial'!$H151*'FE Sectorial'!I151*'FE Sectorial'!P151/1000</f>
        <v>0</v>
      </c>
      <c r="I152" s="134">
        <f>'Datos Actividad'!$X148*'FE Sectorial'!$H151*'FE Sectorial'!J151/1000/1000</f>
        <v>0</v>
      </c>
      <c r="J152" s="134">
        <f>'Datos Actividad'!$X148*'FE Sectorial'!$H151*'FE Sectorial'!K151/1000/1000</f>
        <v>0</v>
      </c>
      <c r="K152" s="134">
        <f>'Datos Actividad'!$X148*'FE Sectorial'!$H151*'FE Sectorial'!L151/1000/1000</f>
        <v>0</v>
      </c>
      <c r="L152" s="134">
        <f>'Datos Actividad'!$X148*'FE Sectorial'!$H151*'FE Sectorial'!M151/1000/1000</f>
        <v>0</v>
      </c>
      <c r="M152" s="134">
        <f>'Datos Actividad'!$X148*'FE Sectorial'!$H151*'FE Sectorial'!N151/1000/1000</f>
        <v>0</v>
      </c>
      <c r="N152" s="134">
        <f>'Datos Actividad'!$X148*'FE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3458135.1502651009</v>
      </c>
      <c r="I153" s="124">
        <f t="shared" ref="I153:N153" si="41">I154+I168</f>
        <v>226519.11791885746</v>
      </c>
      <c r="J153" s="124">
        <f t="shared" si="41"/>
        <v>27.715304124580417</v>
      </c>
      <c r="K153" s="124">
        <f t="shared" si="41"/>
        <v>1419.538550472437</v>
      </c>
      <c r="L153" s="124">
        <f t="shared" si="41"/>
        <v>2271.2536800000003</v>
      </c>
      <c r="M153" s="124">
        <f t="shared" si="41"/>
        <v>101246.09342399528</v>
      </c>
      <c r="N153" s="124">
        <f t="shared" si="41"/>
        <v>22712.536800000002</v>
      </c>
      <c r="O153" s="124">
        <f>IF(D153&lt;400,H153+I153*'Factores generales'!$M$41+J153*'Factores generales'!$N$41,I153*'Factores generales'!$M$41+J153*'Factores generales'!$N$41)</f>
        <v>8223628.3708397271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3458135.1502651009</v>
      </c>
      <c r="I168" s="129">
        <f t="shared" ref="I168:O168" si="44">I169+I188+I204</f>
        <v>223807.52653849841</v>
      </c>
      <c r="J168" s="129">
        <f t="shared" si="44"/>
        <v>27.715304124580417</v>
      </c>
      <c r="K168" s="129">
        <f t="shared" si="44"/>
        <v>1419.538550472437</v>
      </c>
      <c r="L168" s="129">
        <f t="shared" si="44"/>
        <v>2271.2536800000003</v>
      </c>
      <c r="M168" s="129">
        <f t="shared" si="44"/>
        <v>101246.09342399528</v>
      </c>
      <c r="N168" s="129">
        <f t="shared" si="44"/>
        <v>22712.536800000002</v>
      </c>
      <c r="O168" s="129">
        <f t="shared" si="44"/>
        <v>8166684.9518521875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25966.399786472892</v>
      </c>
      <c r="I169" s="134">
        <f t="shared" ref="I169:O169" si="45">SUM(I170:I187)</f>
        <v>11723.17186240336</v>
      </c>
      <c r="J169" s="134">
        <f t="shared" si="45"/>
        <v>0.17831931807855256</v>
      </c>
      <c r="K169" s="134">
        <f t="shared" si="45"/>
        <v>1419.538550472437</v>
      </c>
      <c r="L169" s="134">
        <f t="shared" si="45"/>
        <v>2271.2536800000003</v>
      </c>
      <c r="M169" s="134">
        <f t="shared" si="45"/>
        <v>67605.669306736439</v>
      </c>
      <c r="N169" s="134">
        <f t="shared" si="45"/>
        <v>22712.536800000002</v>
      </c>
      <c r="O169" s="134">
        <f t="shared" si="45"/>
        <v>272208.28788554785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Actividad'!$X167*'FE Sectorial'!I170*1000</f>
        <v>1523.6606197311967</v>
      </c>
      <c r="I171" s="92">
        <f>'Datos Actividad'!$X167*'FE Sectorial'!J170*1000</f>
        <v>32.353907745347698</v>
      </c>
      <c r="J171" s="92">
        <f>'Datos Actividad'!$X167*'FE Sectorial'!K170*1000</f>
        <v>1.1213331351565423E-2</v>
      </c>
      <c r="K171" s="92">
        <f>'Datos Actividad'!$X167*'FE Sectorial'!L170*1000</f>
        <v>0</v>
      </c>
      <c r="L171" s="92">
        <f>'Datos Actividad'!$X167*'FE Sectorial'!M170*1000</f>
        <v>0</v>
      </c>
      <c r="M171" s="92">
        <f>'Datos Actividad'!$X167*'FE Sectorial'!N170*1000</f>
        <v>4.9853960853496471</v>
      </c>
      <c r="N171" s="92">
        <f>'Datos Actividad'!$X167*'FE Sectorial'!O170*1000</f>
        <v>0</v>
      </c>
      <c r="O171" s="87">
        <f>IF(D171&lt;400,H171+I171*'Factores generales'!$M$41+J171*'Factores generales'!$N$41,I171*'Factores generales'!$M$41+J171*'Factores generales'!$N$41)</f>
        <v>2206.5688151024838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Actividad'!$X168*'FE Sectorial'!I171*1000</f>
        <v>3456.1082350000315</v>
      </c>
      <c r="I172" s="92">
        <f>'Datos Actividad'!$X168*'FE Sectorial'!J171*1000</f>
        <v>73.388132202861854</v>
      </c>
      <c r="J172" s="92">
        <f>'Datos Actividad'!$X168*'FE Sectorial'!K171*1000</f>
        <v>2.5435117455989861E-2</v>
      </c>
      <c r="K172" s="92">
        <f>'Datos Actividad'!$X168*'FE Sectorial'!L171*1000</f>
        <v>0</v>
      </c>
      <c r="L172" s="92">
        <f>'Datos Actividad'!$X168*'FE Sectorial'!M171*1000</f>
        <v>0</v>
      </c>
      <c r="M172" s="92">
        <f>'Datos Actividad'!$X168*'FE Sectorial'!N171*1000</f>
        <v>11.308337461890662</v>
      </c>
      <c r="N172" s="92">
        <f>'Datos Actividad'!$X168*'FE Sectorial'!O171*1000</f>
        <v>0</v>
      </c>
      <c r="O172" s="87">
        <f>IF(D172&lt;400,H172+I172*'Factores generales'!$M$41+J172*'Factores generales'!$N$41,I172*'Factores generales'!$M$41+J172*'Factores generales'!$N$41)</f>
        <v>5005.1438976714871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Actividad'!$X169*'FE Sectorial'!I172*1000</f>
        <v>19250.151244408775</v>
      </c>
      <c r="I173" s="92">
        <f>'Datos Actividad'!$X169*'FE Sectorial'!J172*1000</f>
        <v>408.76400517292944</v>
      </c>
      <c r="J173" s="92">
        <f>'Datos Actividad'!$X169*'FE Sectorial'!K172*1000</f>
        <v>0.14167086927099726</v>
      </c>
      <c r="K173" s="92">
        <f>'Datos Actividad'!$X169*'FE Sectorial'!L172*1000</f>
        <v>0</v>
      </c>
      <c r="L173" s="92">
        <f>'Datos Actividad'!$X169*'FE Sectorial'!M172*1000</f>
        <v>0</v>
      </c>
      <c r="M173" s="92">
        <f>'Datos Actividad'!$X169*'FE Sectorial'!N172*1000</f>
        <v>62.986223712466277</v>
      </c>
      <c r="N173" s="92">
        <f>'Datos Actividad'!$X169*'FE Sectorial'!O172*1000</f>
        <v>0</v>
      </c>
      <c r="O173" s="87">
        <f>IF(D173&lt;400,H173+I173*'Factores generales'!$M$41+J173*'Factores generales'!$N$41,I173*'Factores generales'!$M$41+J173*'Factores generales'!$N$41)</f>
        <v>27878.113322514302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Actividad'!$X171*'FE Sectorial'!I174</f>
        <v>749.17917137521442</v>
      </c>
      <c r="I175" s="92">
        <f>'Datos Actividad'!$X171*'FE Sectorial'!J174</f>
        <v>10334.188499999998</v>
      </c>
      <c r="J175" s="92">
        <f>'Datos Actividad'!$X171*'FE Sectorial'!K174</f>
        <v>0</v>
      </c>
      <c r="K175" s="92">
        <f>'Datos Actividad'!$X171*'FE Sectorial'!L174</f>
        <v>0</v>
      </c>
      <c r="L175" s="92">
        <f>'Datos Actividad'!$X171*'FE Sectorial'!M174</f>
        <v>0</v>
      </c>
      <c r="M175" s="92">
        <f>'Datos Actividad'!$X171*'FE Sectorial'!N174</f>
        <v>12656.744365368939</v>
      </c>
      <c r="N175" s="92">
        <f>'Datos Actividad'!$X171*'FE Sectorial'!O174</f>
        <v>0</v>
      </c>
      <c r="O175" s="87">
        <f>IF(D175&lt;400,H175+I175*'Factores generales'!$M$41+J175*'Factores generales'!$N$41,I175*'Factores generales'!$M$41+J175*'Factores generales'!$N$41)</f>
        <v>217767.13767137518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Actividad'!$X173*'FE Sectorial'!I176</f>
        <v>0</v>
      </c>
      <c r="I177" s="92">
        <f>'Datos Actividad'!$X173*'FE Sectorial'!J176</f>
        <v>395.21770700487752</v>
      </c>
      <c r="J177" s="92">
        <f>'Datos Actividad'!$X173*'FE Sectorial'!K176</f>
        <v>0</v>
      </c>
      <c r="K177" s="92">
        <f>'Datos Actividad'!$X173*'FE Sectorial'!L176</f>
        <v>0</v>
      </c>
      <c r="L177" s="92">
        <f>'Datos Actividad'!$X173*'FE Sectorial'!M176</f>
        <v>0</v>
      </c>
      <c r="M177" s="92">
        <f>'Datos Actividad'!$X173*'FE Sectorial'!N176</f>
        <v>0</v>
      </c>
      <c r="N177" s="92">
        <f>'Datos Actividad'!$X173*'FE Sectorial'!O176</f>
        <v>0</v>
      </c>
      <c r="O177" s="87">
        <f>IF(D177&lt;400,H177+I177*'Factores generales'!$M$41+J177*'Factores generales'!$N$41,I177*'Factores generales'!$M$41+J177*'Factores generales'!$N$41)</f>
        <v>8299.5718471024284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Actividad'!$X174*'FE Sectorial'!I177</f>
        <v>9.9354487400000018</v>
      </c>
      <c r="I178" s="92">
        <f>'Datos Actividad'!$X174*'FE Sectorial'!J177</f>
        <v>109.49270040000002</v>
      </c>
      <c r="J178" s="92">
        <f>'Datos Actividad'!$X174*'FE Sectorial'!K177</f>
        <v>0</v>
      </c>
      <c r="K178" s="92">
        <f>'Datos Actividad'!$X174*'FE Sectorial'!L177</f>
        <v>0</v>
      </c>
      <c r="L178" s="92">
        <f>'Datos Actividad'!$X174*'FE Sectorial'!M177</f>
        <v>0</v>
      </c>
      <c r="M178" s="92">
        <f>'Datos Actividad'!$X174*'FE Sectorial'!N177</f>
        <v>1094.9270040000004</v>
      </c>
      <c r="N178" s="92">
        <f>'Datos Actividad'!$X174*'FE Sectorial'!O177</f>
        <v>0</v>
      </c>
      <c r="O178" s="87">
        <f>IF(D178&lt;400,H178+I178*'Factores generales'!$M$41+J178*'Factores generales'!$N$41,I178*'Factores generales'!$M$41+J178*'Factores generales'!$N$41)</f>
        <v>2309.2821571400004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Actividad'!$X177*'FE Sectorial'!I180</f>
        <v>0</v>
      </c>
      <c r="I181" s="92">
        <f>'Datos Actividad'!$X177*'FE Sectorial'!J180</f>
        <v>293.12594443669377</v>
      </c>
      <c r="J181" s="92">
        <f>'Datos Actividad'!$X177*'FE Sectorial'!K180</f>
        <v>0</v>
      </c>
      <c r="K181" s="92">
        <f>'Datos Actividad'!$X177*'FE Sectorial'!L180</f>
        <v>1419.5335500000001</v>
      </c>
      <c r="L181" s="92">
        <f>'Datos Actividad'!$X177*'FE Sectorial'!M180</f>
        <v>2271.2536800000003</v>
      </c>
      <c r="M181" s="92">
        <f>'Datos Actividad'!$X177*'FE Sectorial'!N180</f>
        <v>36907.872299999995</v>
      </c>
      <c r="N181" s="92">
        <f>'Datos Actividad'!$X177*'FE Sectorial'!O180</f>
        <v>22712.536800000002</v>
      </c>
      <c r="O181" s="87">
        <f>IF(D181&lt;400,H181+I181*'Factores generales'!$M$41+J181*'Factores generales'!$N$41,I181*'Factores generales'!$M$41+J181*'Factores generales'!$N$41)</f>
        <v>6155.6448331705687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Actividad'!$X179*'FE Sectorial'!I182</f>
        <v>0</v>
      </c>
      <c r="I183" s="92">
        <f>'Datos Actividad'!$X179*'FE Sectorial'!J182</f>
        <v>76.640965440650803</v>
      </c>
      <c r="J183" s="92">
        <f>'Datos Actividad'!$X179*'FE Sectorial'!K182</f>
        <v>0</v>
      </c>
      <c r="K183" s="92">
        <f>'Datos Actividad'!$X179*'FE Sectorial'!L182</f>
        <v>0</v>
      </c>
      <c r="L183" s="92">
        <f>'Datos Actividad'!$X179*'FE Sectorial'!M182</f>
        <v>0</v>
      </c>
      <c r="M183" s="92">
        <f>'Datos Actividad'!$X179*'FE Sectorial'!N182</f>
        <v>0</v>
      </c>
      <c r="N183" s="92">
        <f>'Datos Actividad'!$X179*'FE Sectorial'!O182</f>
        <v>0</v>
      </c>
      <c r="O183" s="87">
        <f>IF(D183&lt;400,H183+I183*'Factores generales'!$M$41+J183*'Factores generales'!$N$41,I183*'Factores generales'!$M$41+J183*'Factores generales'!$N$41)</f>
        <v>1609.4602742536667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Actividad'!$X181*'FE Sectorial'!I184</f>
        <v>0</v>
      </c>
      <c r="I185" s="92">
        <f>'Datos Actividad'!$X181*'FE Sectorial'!J184</f>
        <v>0</v>
      </c>
      <c r="J185" s="92">
        <f>'Datos Actividad'!$X181*'FE Sectorial'!K184</f>
        <v>0</v>
      </c>
      <c r="K185" s="92">
        <f>'Datos Actividad'!$X181*'FE Sectorial'!L184</f>
        <v>0</v>
      </c>
      <c r="L185" s="92">
        <f>'Datos Actividad'!$X181*'FE Sectorial'!M184</f>
        <v>0</v>
      </c>
      <c r="M185" s="92">
        <f>'Datos Actividad'!$X181*'FE Sectorial'!N184</f>
        <v>16866.845680107792</v>
      </c>
      <c r="N185" s="92">
        <f>'Datos Actividad'!$X181*'FE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Actividad'!$X182*'FE Sectorial'!I185</f>
        <v>977.36506721767307</v>
      </c>
      <c r="I186" s="92">
        <f>'Datos Actividad'!$X182*'FE Sectorial'!J185</f>
        <v>0</v>
      </c>
      <c r="J186" s="92">
        <f>'Datos Actividad'!$X182*'FE Sectorial'!K185</f>
        <v>0</v>
      </c>
      <c r="K186" s="92">
        <f>'Datos Actividad'!$X182*'FE Sectorial'!L185</f>
        <v>5.000472436927631E-3</v>
      </c>
      <c r="L186" s="92">
        <f>'Datos Actividad'!$X182*'FE Sectorial'!M185</f>
        <v>0</v>
      </c>
      <c r="M186" s="92">
        <f>'Datos Actividad'!$X182*'FE Sectorial'!N185</f>
        <v>0</v>
      </c>
      <c r="N186" s="92">
        <f>'Datos Actividad'!$X182*'FE Sectorial'!O185</f>
        <v>0</v>
      </c>
      <c r="O186" s="87">
        <f>IF(D186&lt;400,H186+I186*'Factores generales'!$M$41+J186*'Factores generales'!$N$41,I186*'Factores generales'!$M$41+J186*'Factores generales'!$N$41)</f>
        <v>977.36506721767307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3580.9768846766319</v>
      </c>
      <c r="I188" s="134">
        <f t="shared" ref="I188:O188" si="46">SUM(I189:I203)</f>
        <v>177677.77620242434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15203.453412843714</v>
      </c>
      <c r="N188" s="134">
        <f t="shared" si="46"/>
        <v>0</v>
      </c>
      <c r="O188" s="134">
        <f t="shared" si="46"/>
        <v>3734814.2771355878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Actividad'!$X187*'FE Sectorial'!I190</f>
        <v>1338.4547587853372</v>
      </c>
      <c r="I191" s="92">
        <f>'Datos Actividad'!$X187*'FE Sectorial'!J190</f>
        <v>80519.458381765086</v>
      </c>
      <c r="J191" s="92">
        <f>'Datos Actividad'!$X187*'FE Sectorial'!K190</f>
        <v>0</v>
      </c>
      <c r="K191" s="92">
        <f>'Datos Actividad'!$X187*'FE Sectorial'!L190</f>
        <v>0</v>
      </c>
      <c r="L191" s="92">
        <f>'Datos Actividad'!$X187*'FE Sectorial'!M190</f>
        <v>0</v>
      </c>
      <c r="M191" s="92">
        <f>'Datos Actividad'!$X187*'FE Sectorial'!N190</f>
        <v>8810.7878643354961</v>
      </c>
      <c r="N191" s="92">
        <f>'Datos Actividad'!$X187*'FE Sectorial'!O190</f>
        <v>0</v>
      </c>
      <c r="O191" s="87">
        <f>IF(D191&lt;400,H191+I191*'Factores generales'!$M$41+J191*'Factores generales'!$N$41,I191*'Factores generales'!$M$41+J191*'Factores generales'!$N$41)</f>
        <v>1692247.0807758523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Actividad'!$X189*'FE Sectorial'!I192</f>
        <v>488.7345757245767</v>
      </c>
      <c r="I193" s="92">
        <f>'Datos Actividad'!$X189*'FE Sectorial'!J192</f>
        <v>6109.1821965572099</v>
      </c>
      <c r="J193" s="92">
        <f>'Datos Actividad'!$X189*'FE Sectorial'!K192</f>
        <v>0</v>
      </c>
      <c r="K193" s="92">
        <f>'Datos Actividad'!$X189*'FE Sectorial'!L192</f>
        <v>0</v>
      </c>
      <c r="L193" s="92">
        <f>'Datos Actividad'!$X189*'FE Sectorial'!M192</f>
        <v>0</v>
      </c>
      <c r="M193" s="92">
        <f>'Datos Actividad'!$X189*'FE Sectorial'!N192</f>
        <v>5643.4207771372385</v>
      </c>
      <c r="N193" s="92">
        <f>'Datos Actividad'!$X189*'FE Sectorial'!O192</f>
        <v>0</v>
      </c>
      <c r="O193" s="87">
        <f>IF(D193&lt;400,H193+I193*'Factores generales'!$M$41+J193*'Factores generales'!$N$41,I193*'Factores generales'!$M$41+J193*'Factores generales'!$N$41)</f>
        <v>128781.56070342599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Actividad'!$X192*'FE Sectorial'!I195</f>
        <v>35.088484172698564</v>
      </c>
      <c r="I196" s="92">
        <f>'Datos Actividad'!$X192*'FE Sectorial'!J195</f>
        <v>10917.517163543589</v>
      </c>
      <c r="J196" s="92">
        <f>'Datos Actividad'!$X192*'FE Sectorial'!K195</f>
        <v>0</v>
      </c>
      <c r="K196" s="92">
        <f>'Datos Actividad'!$X192*'FE Sectorial'!L195</f>
        <v>0</v>
      </c>
      <c r="L196" s="92">
        <f>'Datos Actividad'!$X192*'FE Sectorial'!M195</f>
        <v>0</v>
      </c>
      <c r="M196" s="92">
        <f>'Datos Actividad'!$X192*'FE Sectorial'!N195</f>
        <v>261.08501137097915</v>
      </c>
      <c r="N196" s="92">
        <f>'Datos Actividad'!$X192*'FE Sectorial'!O195</f>
        <v>0</v>
      </c>
      <c r="O196" s="87">
        <f>IF(D196&lt;400,H196+I196*'Factores generales'!$M$41+J196*'Factores generales'!$N$41,I196*'Factores generales'!$M$41+J196*'Factores generales'!$N$41)</f>
        <v>229302.94891858808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Actividad'!$X194*'FE Sectorial'!I197</f>
        <v>1718.6990659940193</v>
      </c>
      <c r="I198" s="92">
        <f>'Datos Actividad'!$X194*'FE Sectorial'!J197</f>
        <v>33730.057534790467</v>
      </c>
      <c r="J198" s="92">
        <f>'Datos Actividad'!$X194*'FE Sectorial'!K197</f>
        <v>0</v>
      </c>
      <c r="K198" s="92">
        <f>'Datos Actividad'!$X194*'FE Sectorial'!L197</f>
        <v>0</v>
      </c>
      <c r="L198" s="92">
        <f>'Datos Actividad'!$X194*'FE Sectorial'!M197</f>
        <v>0</v>
      </c>
      <c r="M198" s="92">
        <f>'Datos Actividad'!$X194*'FE Sectorial'!N197</f>
        <v>488.15976000000006</v>
      </c>
      <c r="N198" s="92">
        <f>'Datos Actividad'!$X194*'FE Sectorial'!O197</f>
        <v>0</v>
      </c>
      <c r="O198" s="87">
        <f>IF(D198&lt;400,H198+I198*'Factores generales'!$M$41+J198*'Factores generales'!$N$41,I198*'Factores generales'!$M$41+J198*'Factores generales'!$N$41)</f>
        <v>710049.90729659377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Actividad'!$X197*'FE Sectorial'!I200</f>
        <v>0</v>
      </c>
      <c r="I201" s="92">
        <f>'Datos Actividad'!$X197*'FE Sectorial'!J200</f>
        <v>35322.220105200002</v>
      </c>
      <c r="J201" s="92">
        <f>'Datos Actividad'!$X197*'FE Sectorial'!K200</f>
        <v>0</v>
      </c>
      <c r="K201" s="92">
        <f>'Datos Actividad'!$X197*'FE Sectorial'!L200</f>
        <v>0</v>
      </c>
      <c r="L201" s="92">
        <f>'Datos Actividad'!$X197*'FE Sectorial'!M200</f>
        <v>0</v>
      </c>
      <c r="M201" s="92">
        <f>'Datos Actividad'!$X197*'FE Sectorial'!N200</f>
        <v>0</v>
      </c>
      <c r="N201" s="92">
        <f>'Datos Actividad'!$X197*'FE Sectorial'!O200</f>
        <v>0</v>
      </c>
      <c r="O201" s="87">
        <f>IF(D201&lt;400,H201+I201*'Factores generales'!$M$41+J201*'Factores generales'!$N$41,I201*'Factores generales'!$M$41+J201*'Factores generales'!$N$41)</f>
        <v>741766.62220920005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Actividad'!$X199*'FE Sectorial'!I202</f>
        <v>0</v>
      </c>
      <c r="I203" s="92">
        <f>'Datos Actividad'!$X199*'FE Sectorial'!J202</f>
        <v>11079.340820567999</v>
      </c>
      <c r="J203" s="92">
        <f>'Datos Actividad'!$X199*'FE Sectorial'!K202</f>
        <v>0</v>
      </c>
      <c r="K203" s="92">
        <f>'Datos Actividad'!$X199*'FE Sectorial'!L202</f>
        <v>0</v>
      </c>
      <c r="L203" s="92">
        <f>'Datos Actividad'!$X199*'FE Sectorial'!M202</f>
        <v>0</v>
      </c>
      <c r="M203" s="92">
        <f>'Datos Actividad'!$X199*'FE Sectorial'!N202</f>
        <v>0</v>
      </c>
      <c r="N203" s="92">
        <f>'Datos Actividad'!$X199*'FE Sectorial'!O202</f>
        <v>0</v>
      </c>
      <c r="O203" s="87">
        <f>IF(D203&lt;400,H203+I203*'Factores generales'!$M$41+J203*'Factores generales'!$N$41,I203*'Factores generales'!$M$41+J203*'Factores generales'!$N$41)</f>
        <v>232666.15723192797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3428587.7735939515</v>
      </c>
      <c r="I204" s="134">
        <f t="shared" ref="I204:O204" si="47">SUM(I205:I221)</f>
        <v>34406.578473670692</v>
      </c>
      <c r="J204" s="134">
        <f t="shared" si="47"/>
        <v>27.536984806501863</v>
      </c>
      <c r="K204" s="134">
        <f t="shared" si="47"/>
        <v>0</v>
      </c>
      <c r="L204" s="134">
        <f t="shared" si="47"/>
        <v>0</v>
      </c>
      <c r="M204" s="134">
        <f t="shared" si="47"/>
        <v>18436.970704415129</v>
      </c>
      <c r="N204" s="134">
        <f t="shared" si="47"/>
        <v>0</v>
      </c>
      <c r="O204" s="134">
        <f t="shared" si="47"/>
        <v>4159662.3868310512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Actividad'!$X203*'FE Sectorial'!I206</f>
        <v>3828.1469721381209</v>
      </c>
      <c r="I207" s="92">
        <f>'Datos Actividad'!$X203*'FE Sectorial'!J206</f>
        <v>29082.98436323163</v>
      </c>
      <c r="J207" s="92">
        <f>'Datos Actividad'!$X203*'FE Sectorial'!K206</f>
        <v>0</v>
      </c>
      <c r="K207" s="92">
        <f>'Datos Actividad'!$X203*'FE Sectorial'!L206</f>
        <v>0</v>
      </c>
      <c r="L207" s="92">
        <f>'Datos Actividad'!$X203*'FE Sectorial'!M206</f>
        <v>0</v>
      </c>
      <c r="M207" s="92">
        <f>'Datos Actividad'!$X203*'FE Sectorial'!N206</f>
        <v>17350.634365799979</v>
      </c>
      <c r="N207" s="92">
        <f>'Datos Actividad'!$X203*'FE Sectorial'!O206</f>
        <v>0</v>
      </c>
      <c r="O207" s="87">
        <f>IF(D207&lt;400,H207+I207*'Factores generales'!$M$41+J207*'Factores generales'!$N$41,I207*'Factores generales'!$M$41+J207*'Factores generales'!$N$41)</f>
        <v>614570.81860000233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Actividad'!$X205*'FE Sectorial'!I208</f>
        <v>1650597.0559006485</v>
      </c>
      <c r="I209" s="92">
        <f>'Datos Actividad'!$X205*'FE Sectorial'!J208</f>
        <v>1004.3026002627254</v>
      </c>
      <c r="J209" s="92">
        <f>'Datos Actividad'!$X205*'FE Sectorial'!K208</f>
        <v>25.851541656205892</v>
      </c>
      <c r="K209" s="92">
        <f>'Datos Actividad'!$X205*'FE Sectorial'!L208</f>
        <v>0</v>
      </c>
      <c r="L209" s="92">
        <f>'Datos Actividad'!$X205*'FE Sectorial'!M208</f>
        <v>0</v>
      </c>
      <c r="M209" s="92">
        <f>'Datos Actividad'!$X205*'FE Sectorial'!N208</f>
        <v>850.08777481244158</v>
      </c>
      <c r="N209" s="92">
        <f>'Datos Actividad'!$X205*'FE Sectorial'!O208</f>
        <v>0</v>
      </c>
      <c r="O209" s="87">
        <f>IF(D209&lt;400,H209+I209*'Factores generales'!$M$41+J209*'Factores generales'!$N$41,I209*'Factores generales'!$M$41+J209*'Factores generales'!$N$41)</f>
        <v>1679701.3884195895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Actividad'!$X209*'FE Sectorial'!I212</f>
        <v>1643596.5616715881</v>
      </c>
      <c r="I213" s="92">
        <f>'Datos Actividad'!$X209*'FE Sectorial'!J212</f>
        <v>0</v>
      </c>
      <c r="J213" s="92">
        <f>'Datos Actividad'!$X209*'FE Sectorial'!K212</f>
        <v>0</v>
      </c>
      <c r="K213" s="92">
        <f>'Datos Actividad'!$X209*'FE Sectorial'!L212</f>
        <v>0</v>
      </c>
      <c r="L213" s="92">
        <f>'Datos Actividad'!$X209*'FE Sectorial'!M212</f>
        <v>0</v>
      </c>
      <c r="M213" s="92">
        <f>'Datos Actividad'!$X209*'FE Sectorial'!N212</f>
        <v>0</v>
      </c>
      <c r="N213" s="92">
        <f>'Datos Actividad'!$X209*'FE Sectorial'!O212</f>
        <v>0</v>
      </c>
      <c r="O213" s="87">
        <f>IF(D213&lt;400,H213+I213*'Factores generales'!$M$41+J213*'Factores generales'!$N$41,I213*'Factores generales'!$M$41+J213*'Factores generales'!$N$41)</f>
        <v>1643596.5616715881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Actividad'!$X211*'FE Sectorial'!I214</f>
        <v>111.59466719408941</v>
      </c>
      <c r="I215" s="92">
        <f>'Datos Actividad'!$X211*'FE Sectorial'!J214</f>
        <v>4232.9521822739043</v>
      </c>
      <c r="J215" s="92">
        <f>'Datos Actividad'!$X211*'FE Sectorial'!K214</f>
        <v>0</v>
      </c>
      <c r="K215" s="92">
        <f>'Datos Actividad'!$X211*'FE Sectorial'!L214</f>
        <v>0</v>
      </c>
      <c r="L215" s="92">
        <f>'Datos Actividad'!$X211*'FE Sectorial'!M214</f>
        <v>0</v>
      </c>
      <c r="M215" s="92">
        <f>'Datos Actividad'!$X211*'FE Sectorial'!N214</f>
        <v>166.86929180045831</v>
      </c>
      <c r="N215" s="92">
        <f>'Datos Actividad'!$X211*'FE Sectorial'!O214</f>
        <v>0</v>
      </c>
      <c r="O215" s="87">
        <f>IF(D215&lt;400,H215+I215*'Factores generales'!$M$41+J215*'Factores generales'!$N$41,I215*'Factores generales'!$M$41+J215*'Factores generales'!$N$41)</f>
        <v>89003.590494946082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Actividad'!$X214*'FE Sectorial'!I217</f>
        <v>36944.861271025584</v>
      </c>
      <c r="I218" s="92">
        <f>'Datos Actividad'!$X214*'FE Sectorial'!J217</f>
        <v>23.243965485857469</v>
      </c>
      <c r="J218" s="92">
        <f>'Datos Actividad'!$X214*'FE Sectorial'!K217</f>
        <v>0.65797905930545109</v>
      </c>
      <c r="K218" s="92">
        <f>'Datos Actividad'!$X214*'FE Sectorial'!L217</f>
        <v>0</v>
      </c>
      <c r="L218" s="92">
        <f>'Datos Actividad'!$X214*'FE Sectorial'!M217</f>
        <v>0</v>
      </c>
      <c r="M218" s="92">
        <f>'Datos Actividad'!$X214*'FE Sectorial'!N217</f>
        <v>19.35569336562023</v>
      </c>
      <c r="N218" s="92">
        <f>'Datos Actividad'!$X214*'FE Sectorial'!O217</f>
        <v>0</v>
      </c>
      <c r="O218" s="87">
        <f>IF(D218&lt;400,H218+I218*'Factores generales'!$M$41+J218*'Factores generales'!$N$41,I218*'Factores generales'!$M$41+J218*'Factores generales'!$N$41)</f>
        <v>37636.958054613278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Actividad'!$X216*'FE Sectorial'!I219</f>
        <v>93509.55311135693</v>
      </c>
      <c r="I220" s="92">
        <f>'Datos Actividad'!$X216*'FE Sectorial'!J219</f>
        <v>63.095362416567781</v>
      </c>
      <c r="J220" s="92">
        <f>'Datos Actividad'!$X216*'FE Sectorial'!K219</f>
        <v>1.0274640909905215</v>
      </c>
      <c r="K220" s="92">
        <f>'Datos Actividad'!$X216*'FE Sectorial'!L219</f>
        <v>0</v>
      </c>
      <c r="L220" s="92">
        <f>'Datos Actividad'!$X216*'FE Sectorial'!M219</f>
        <v>0</v>
      </c>
      <c r="M220" s="92">
        <f>'Datos Actividad'!$X216*'FE Sectorial'!N219</f>
        <v>50.023578636626588</v>
      </c>
      <c r="N220" s="92">
        <f>'Datos Actividad'!$X216*'FE Sectorial'!O219</f>
        <v>0</v>
      </c>
      <c r="O220" s="87">
        <f>IF(D220&lt;400,H220+I220*'Factores generales'!$M$41+J220*'Factores generales'!$N$41,I220*'Factores generales'!$M$41+J220*'Factores generales'!$N$41)</f>
        <v>95153.069590311919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9221511.9775047824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2560874.6775727021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1519843.087488702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1041031.590084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102781940.22775413</v>
      </c>
      <c r="I5" s="138">
        <f t="shared" si="0"/>
        <v>224118.04929503374</v>
      </c>
      <c r="J5" s="138">
        <f t="shared" si="0"/>
        <v>3353.264210931558</v>
      </c>
      <c r="K5" s="138">
        <f t="shared" si="0"/>
        <v>570118.28713431873</v>
      </c>
      <c r="L5" s="138">
        <f t="shared" si="0"/>
        <v>2367390.1335994662</v>
      </c>
      <c r="M5" s="138">
        <f t="shared" si="0"/>
        <v>481490.87971924373</v>
      </c>
      <c r="N5" s="138">
        <f t="shared" si="0"/>
        <v>80020.131429007452</v>
      </c>
      <c r="O5" s="138">
        <f t="shared" si="0"/>
        <v>108609651.56307545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99537609.114628613</v>
      </c>
      <c r="I6" s="124">
        <f t="shared" si="1"/>
        <v>13325.553552745798</v>
      </c>
      <c r="J6" s="124">
        <f t="shared" si="1"/>
        <v>3327.3026892454031</v>
      </c>
      <c r="K6" s="124">
        <f t="shared" si="1"/>
        <v>568699.03053884488</v>
      </c>
      <c r="L6" s="124">
        <f t="shared" si="1"/>
        <v>2365119.3309594663</v>
      </c>
      <c r="M6" s="124">
        <f t="shared" si="1"/>
        <v>384037.64074950322</v>
      </c>
      <c r="N6" s="124">
        <f t="shared" si="1"/>
        <v>57312.105029007442</v>
      </c>
      <c r="O6" s="124">
        <f t="shared" si="1"/>
        <v>100930629.96763918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28173750.512657817</v>
      </c>
      <c r="I7" s="129">
        <f t="shared" si="2"/>
        <v>720.33556034245157</v>
      </c>
      <c r="J7" s="129">
        <f t="shared" si="2"/>
        <v>130.26958120372521</v>
      </c>
      <c r="K7" s="129">
        <f t="shared" si="2"/>
        <v>75625.619387327344</v>
      </c>
      <c r="L7" s="129">
        <f t="shared" si="2"/>
        <v>8240.0018556375508</v>
      </c>
      <c r="M7" s="129">
        <f t="shared" si="2"/>
        <v>2231.2979458874843</v>
      </c>
      <c r="N7" s="129">
        <f t="shared" si="2"/>
        <v>31439.575023467791</v>
      </c>
      <c r="O7" s="129">
        <f t="shared" si="2"/>
        <v>28229261.129598159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17388375.686299726</v>
      </c>
      <c r="I8" s="134">
        <f t="shared" si="3"/>
        <v>433.29707810399998</v>
      </c>
      <c r="J8" s="134">
        <f t="shared" si="3"/>
        <v>75.059853710400006</v>
      </c>
      <c r="K8" s="134">
        <f t="shared" si="3"/>
        <v>46737.1655656</v>
      </c>
      <c r="L8" s="134">
        <f t="shared" si="3"/>
        <v>5211.7784170799996</v>
      </c>
      <c r="M8" s="134">
        <f t="shared" si="3"/>
        <v>1398.8935805199999</v>
      </c>
      <c r="N8" s="134">
        <f t="shared" si="3"/>
        <v>18421.91288</v>
      </c>
      <c r="O8" s="134">
        <f t="shared" si="3"/>
        <v>17420743.479590133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17388375.686299726</v>
      </c>
      <c r="I9" s="93">
        <f t="shared" ref="I9:O9" si="4">I10+I11+I12+I13+I14</f>
        <v>433.29707810399998</v>
      </c>
      <c r="J9" s="93">
        <f t="shared" si="4"/>
        <v>75.059853710400006</v>
      </c>
      <c r="K9" s="93">
        <f t="shared" si="4"/>
        <v>46737.1655656</v>
      </c>
      <c r="L9" s="93">
        <f t="shared" si="4"/>
        <v>5211.7784170799996</v>
      </c>
      <c r="M9" s="93">
        <f t="shared" si="4"/>
        <v>1398.8935805199999</v>
      </c>
      <c r="N9" s="93">
        <f t="shared" si="4"/>
        <v>18421.91288</v>
      </c>
      <c r="O9" s="93">
        <f t="shared" si="4"/>
        <v>17420743.479590133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Actividad'!$Y6*'FE Sectorial'!$H9*'FE Sectorial'!I9*'FE Sectorial'!$P9/1000</f>
        <v>576272.37175199995</v>
      </c>
      <c r="I10" s="92">
        <f>'Datos Actividad'!$Y6*'FE Sectorial'!$H9*'FE Sectorial'!J9/1000/1000</f>
        <v>6.2159939999999994</v>
      </c>
      <c r="J10" s="92">
        <f>'Datos Actividad'!$Y6*'FE Sectorial'!$H9*'FE Sectorial'!K9/1000/1000</f>
        <v>9.3239910000000013</v>
      </c>
      <c r="K10" s="92">
        <f>'Datos Actividad'!$Y6*'FE Sectorial'!$H9*'FE Sectorial'!L9/1000/1000</f>
        <v>1864.7982</v>
      </c>
      <c r="L10" s="92">
        <f>'Datos Actividad'!$Y6*'FE Sectorial'!$H9*'FE Sectorial'!M9/1000/1000</f>
        <v>124.31988</v>
      </c>
      <c r="M10" s="92">
        <f>'Datos Actividad'!$Y6*'FE Sectorial'!$H9*'FE Sectorial'!N9/1000/1000</f>
        <v>31.079969999999999</v>
      </c>
      <c r="N10" s="92">
        <f>'Datos Actividad'!$Y6*'FE Sectorial'!$H9*'FE Sectorial'!O9/1000/1000</f>
        <v>5950.9709999999995</v>
      </c>
      <c r="O10" s="92">
        <f>IF(D10&lt;400,H10+I10*'Factores generales'!$M$41+J10*'Factores generales'!$N$41,I10*'Factores generales'!$M$41+J10*'Factores generales'!$N$41)</f>
        <v>579293.344836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Actividad'!$Y7*'FE Sectorial'!$H10*'FE Sectorial'!I10*'FE Sectorial'!$P10/1000</f>
        <v>1237715.909001</v>
      </c>
      <c r="I11" s="17">
        <f>'Datos Actividad'!$Y7*'FE Sectorial'!$H10*'FE Sectorial'!J10/1000/1000</f>
        <v>50.616116999999996</v>
      </c>
      <c r="J11" s="17">
        <f>'Datos Actividad'!$Y7*'FE Sectorial'!$H10*'FE Sectorial'!K10/1000/1000</f>
        <v>10.123223400000001</v>
      </c>
      <c r="K11" s="17">
        <f>'Datos Actividad'!$Y7*'FE Sectorial'!$H10*'FE Sectorial'!L10/1000/1000</f>
        <v>3374.4078</v>
      </c>
      <c r="L11" s="17">
        <f>'Datos Actividad'!$Y7*'FE Sectorial'!$H10*'FE Sectorial'!M10/1000/1000</f>
        <v>253.08058499999999</v>
      </c>
      <c r="M11" s="17">
        <f>'Datos Actividad'!$Y7*'FE Sectorial'!$H10*'FE Sectorial'!N10/1000/1000</f>
        <v>84.360195000000004</v>
      </c>
      <c r="N11" s="17">
        <f>'Datos Actividad'!$Y7*'FE Sectorial'!$H10*'FE Sectorial'!O10/1000/1000</f>
        <v>612.10188000000005</v>
      </c>
      <c r="O11" s="17">
        <f>IF(D11&lt;400,H11+I11*'Factores generales'!$M$41+J11*'Factores generales'!$N$41,I11*'Factores generales'!$M$41+J11*'Factores generales'!$N$41)</f>
        <v>1241917.0467120002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Actividad'!$Y8*'FE Sectorial'!$H11*'FE Sectorial'!I11*'FE Sectorial'!$P11/1000</f>
        <v>4588912.1428920003</v>
      </c>
      <c r="I12" s="92">
        <f>'Datos Actividad'!$Y8*'FE Sectorial'!$H11*'FE Sectorial'!J11/1000/1000</f>
        <v>179.66142600000001</v>
      </c>
      <c r="J12" s="92">
        <f>'Datos Actividad'!$Y8*'FE Sectorial'!$H11*'FE Sectorial'!K11/1000/1000</f>
        <v>35.932285199999995</v>
      </c>
      <c r="K12" s="92">
        <f>'Datos Actividad'!$Y8*'FE Sectorial'!$H11*'FE Sectorial'!L11/1000/1000</f>
        <v>11977.428400000001</v>
      </c>
      <c r="L12" s="92">
        <f>'Datos Actividad'!$Y8*'FE Sectorial'!$H11*'FE Sectorial'!M11/1000/1000</f>
        <v>898.30713000000003</v>
      </c>
      <c r="M12" s="92">
        <f>'Datos Actividad'!$Y8*'FE Sectorial'!$H11*'FE Sectorial'!N11/1000/1000</f>
        <v>299.43571000000003</v>
      </c>
      <c r="N12" s="92">
        <f>'Datos Actividad'!$Y8*'FE Sectorial'!$H11*'FE Sectorial'!O11/1000/1000</f>
        <v>11858.84</v>
      </c>
      <c r="O12" s="92">
        <f>IF(D12&lt;400,H12+I12*'Factores generales'!$M$41+J12*'Factores generales'!$N$41,I12*'Factores generales'!$M$41+J12*'Factores generales'!$N$41)</f>
        <v>4603824.0412499998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Actividad'!$Y9*'FE Sectorial'!$H12*'FE Sectorial'!I12*'FE Sectorial'!$P12/1000</f>
        <v>10985475.262654727</v>
      </c>
      <c r="I13" s="17">
        <f>'Datos Actividad'!$Y9*'FE Sectorial'!$H12*'FE Sectorial'!J12/1000/1000</f>
        <v>196.803541104</v>
      </c>
      <c r="J13" s="17">
        <f>'Datos Actividad'!$Y9*'FE Sectorial'!$H12*'FE Sectorial'!K12/1000/1000</f>
        <v>19.680354110400003</v>
      </c>
      <c r="K13" s="17">
        <f>'Datos Actividad'!$Y9*'FE Sectorial'!$H12*'FE Sectorial'!L12/1000/1000</f>
        <v>29520.531165599998</v>
      </c>
      <c r="L13" s="17">
        <f>'Datos Actividad'!$Y9*'FE Sectorial'!$H12*'FE Sectorial'!M12/1000/1000</f>
        <v>3936.0708220799997</v>
      </c>
      <c r="M13" s="17">
        <f>'Datos Actividad'!$Y9*'FE Sectorial'!$H12*'FE Sectorial'!N12/1000/1000</f>
        <v>984.01770551999994</v>
      </c>
      <c r="N13" s="17">
        <f>'Datos Actividad'!$Y9*'FE Sectorial'!$H12*'FE Sectorial'!O12/1000/1000</f>
        <v>0</v>
      </c>
      <c r="O13" s="17">
        <f>IF(D13&lt;400,H13+I13*'Factores generales'!$M$41+J13*'Factores generales'!$N$41,I13*'Factores generales'!$M$41+J13*'Factores generales'!$N$41)</f>
        <v>10995709.046792135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Actividad'!$Y10*'FE Sectorial'!$H13*'FE Sectorial'!I13*'FE Sectorial'!$P13/1000</f>
        <v>0</v>
      </c>
      <c r="I14" s="147">
        <f>'Datos Actividad'!$Y10*'FE Sectorial'!$H13*'FE Sectorial'!J13/1000/1000</f>
        <v>0</v>
      </c>
      <c r="J14" s="147">
        <f>'Datos Actividad'!$Y10*'FE Sectorial'!$H13*'FE Sectorial'!K13/1000/1000</f>
        <v>0</v>
      </c>
      <c r="K14" s="147">
        <f>'Datos Actividad'!$Y10*'FE Sectorial'!$H13*'FE Sectorial'!L13/1000/1000</f>
        <v>0</v>
      </c>
      <c r="L14" s="147">
        <f>'Datos Actividad'!$Y10*'FE Sectorial'!$H13*'FE Sectorial'!M13/1000/1000</f>
        <v>0</v>
      </c>
      <c r="M14" s="147">
        <f>'Datos Actividad'!$Y10*'FE Sectorial'!$H13*'FE Sectorial'!N13/1000/1000</f>
        <v>0</v>
      </c>
      <c r="N14" s="147">
        <f>'Datos Actividad'!$Y10*'FE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7234334.8139223941</v>
      </c>
      <c r="I17" s="134">
        <f t="shared" ref="I17:O17" si="5">SUM(I18:I25)</f>
        <v>224.21781271045157</v>
      </c>
      <c r="J17" s="134">
        <f t="shared" si="5"/>
        <v>45.781274040525211</v>
      </c>
      <c r="K17" s="134">
        <f t="shared" si="5"/>
        <v>19233.862142527341</v>
      </c>
      <c r="L17" s="134">
        <f t="shared" si="5"/>
        <v>1788.6560229975498</v>
      </c>
      <c r="M17" s="134">
        <f t="shared" si="5"/>
        <v>522.04456772748415</v>
      </c>
      <c r="N17" s="134">
        <f t="shared" si="5"/>
        <v>10712.762143467788</v>
      </c>
      <c r="O17" s="134">
        <f t="shared" si="5"/>
        <v>7253235.5829418758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Actividad'!$Y14*'FE Sectorial'!$H17*'FE Sectorial'!I17*'FE Sectorial'!P17/1000</f>
        <v>1082529.7341122883</v>
      </c>
      <c r="I18" s="17">
        <f>'Datos Actividad'!$Y14*'FE Sectorial'!$H17*'FE Sectorial'!J17/1000/1000</f>
        <v>19.393397184000001</v>
      </c>
      <c r="J18" s="17">
        <f>'Datos Actividad'!$Y14*'FE Sectorial'!$H17*'FE Sectorial'!K17/1000/1000</f>
        <v>1.9393397184000001</v>
      </c>
      <c r="K18" s="17">
        <f>'Datos Actividad'!$Y14*'FE Sectorial'!$H17*'FE Sectorial'!L17/1000/1000</f>
        <v>2909.0095775999998</v>
      </c>
      <c r="L18" s="17">
        <f>'Datos Actividad'!$Y14*'FE Sectorial'!$H17*'FE Sectorial'!M17/1000/1000</f>
        <v>387.86794368000005</v>
      </c>
      <c r="M18" s="17">
        <f>'Datos Actividad'!$Y14*'FE Sectorial'!$H17*'FE Sectorial'!N17/1000/1000</f>
        <v>96.966985920000013</v>
      </c>
      <c r="N18" s="17">
        <f>'Datos Actividad'!$Y14*'FE Sectorial'!$H17*'FE Sectorial'!O17/1000/1000</f>
        <v>0</v>
      </c>
      <c r="O18" s="87">
        <f>IF(D18&lt;400,H18+I18*'Factores generales'!$M$41+J18*'Factores generales'!$N$41,I18*'Factores generales'!$M$41+J18*'Factores generales'!$N$41)</f>
        <v>1083538.1907658563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Actividad'!$Y15*'FE Sectorial'!$H18*'FE Sectorial'!I18*'FE Sectorial'!P18/1000</f>
        <v>14280.10533369863</v>
      </c>
      <c r="I19" s="17">
        <f>'Datos Actividad'!$Y15*'FE Sectorial'!$H18*'FE Sectorial'!J18/1000/1000</f>
        <v>0.22859506849315067</v>
      </c>
      <c r="J19" s="17">
        <f>'Datos Actividad'!$Y15*'FE Sectorial'!$H18*'FE Sectorial'!K18/1000/1000</f>
        <v>2.2859506849315068E-2</v>
      </c>
      <c r="K19" s="17">
        <f>'Datos Actividad'!$Y15*'FE Sectorial'!$H18*'FE Sectorial'!L18/1000/1000</f>
        <v>34.289260273972602</v>
      </c>
      <c r="L19" s="17">
        <f>'Datos Actividad'!$Y15*'FE Sectorial'!$H18*'FE Sectorial'!M18/1000/1000</f>
        <v>4.5719013698630135</v>
      </c>
      <c r="M19" s="17">
        <f>'Datos Actividad'!$Y15*'FE Sectorial'!$H18*'FE Sectorial'!N18/1000/1000</f>
        <v>1.1429753424657534</v>
      </c>
      <c r="N19" s="17">
        <f>'Datos Actividad'!$Y15*'FE Sectorial'!$H18*'FE Sectorial'!O18/1000/1000</f>
        <v>0.96657534246575361</v>
      </c>
      <c r="O19" s="87">
        <f>IF(D19&lt;400,H19+I19*'Factores generales'!$M$41+J19*'Factores generales'!$N$41,I19*'Factores generales'!$M$41+J19*'Factores generales'!$N$41)</f>
        <v>14291.992277260273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Actividad'!$Y16*'FE Sectorial'!$H19*'FE Sectorial'!I19*'FE Sectorial'!P19/1000</f>
        <v>1205488.4292000001</v>
      </c>
      <c r="I20" s="17">
        <f>'Datos Actividad'!$Y16*'FE Sectorial'!$H19*'FE Sectorial'!J19/1000/1000</f>
        <v>21.033787499999999</v>
      </c>
      <c r="J20" s="17">
        <f>'Datos Actividad'!$Y16*'FE Sectorial'!$H19*'FE Sectorial'!K19/1000/1000</f>
        <v>2.1033787500000001</v>
      </c>
      <c r="K20" s="17">
        <f>'Datos Actividad'!$Y16*'FE Sectorial'!$H19*'FE Sectorial'!L19/1000/1000</f>
        <v>3155.0681249999998</v>
      </c>
      <c r="L20" s="17">
        <f>'Datos Actividad'!$Y16*'FE Sectorial'!$H19*'FE Sectorial'!M19/1000/1000</f>
        <v>420.67574999999999</v>
      </c>
      <c r="M20" s="17">
        <f>'Datos Actividad'!$Y16*'FE Sectorial'!$H19*'FE Sectorial'!N19/1000/1000</f>
        <v>105.1689375</v>
      </c>
      <c r="N20" s="17">
        <f>'Datos Actividad'!$Y16*'FE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1206582.1861500002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Actividad'!$Y17*'FE Sectorial'!$H20*'FE Sectorial'!I20*'FE Sectorial'!P20/1000</f>
        <v>45398.637361747569</v>
      </c>
      <c r="I21" s="17">
        <f>'Datos Actividad'!$Y17*'FE Sectorial'!$H20*'FE Sectorial'!J20/1000/1000</f>
        <v>1.9240787184466019</v>
      </c>
      <c r="J21" s="17">
        <f>'Datos Actividad'!$Y17*'FE Sectorial'!$H20*'FE Sectorial'!K20/1000/1000</f>
        <v>0.38481574368932037</v>
      </c>
      <c r="K21" s="17">
        <f>'Datos Actividad'!$Y17*'FE Sectorial'!$H20*'FE Sectorial'!L20/1000/1000</f>
        <v>128.2719145631068</v>
      </c>
      <c r="L21" s="17">
        <f>'Datos Actividad'!$Y17*'FE Sectorial'!$H20*'FE Sectorial'!M20/1000/1000</f>
        <v>9.6203935922330093</v>
      </c>
      <c r="M21" s="17">
        <f>'Datos Actividad'!$Y17*'FE Sectorial'!$H20*'FE Sectorial'!N20/1000/1000</f>
        <v>3.2067978640776698</v>
      </c>
      <c r="N21" s="17">
        <f>'Datos Actividad'!$Y17*'FE Sectorial'!$H20*'FE Sectorial'!O20/1000/1000</f>
        <v>29.086601941747574</v>
      </c>
      <c r="O21" s="87">
        <f>IF(D21&lt;400,H21+I21*'Factores generales'!$M$41+J21*'Factores generales'!$N$41,I21*'Factores generales'!$M$41+J21*'Factores generales'!$N$41)</f>
        <v>45558.335895378637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Actividad'!$Y18*'FE Sectorial'!$H21*'FE Sectorial'!I21*'FE Sectorial'!P21/1000</f>
        <v>15636.633674869565</v>
      </c>
      <c r="I22" s="17">
        <f>'Datos Actividad'!$Y18*'FE Sectorial'!$H21*'FE Sectorial'!J21/1000/1000</f>
        <v>0.68374802898550724</v>
      </c>
      <c r="J22" s="17">
        <f>'Datos Actividad'!$Y18*'FE Sectorial'!$H21*'FE Sectorial'!K21/1000/1000</f>
        <v>0.13674960579710146</v>
      </c>
      <c r="K22" s="17">
        <f>'Datos Actividad'!$Y18*'FE Sectorial'!$H21*'FE Sectorial'!L21/1000/1000</f>
        <v>45.583201932367153</v>
      </c>
      <c r="L22" s="17">
        <f>'Datos Actividad'!$Y18*'FE Sectorial'!$H21*'FE Sectorial'!M21/1000/1000</f>
        <v>3.4187401449275368</v>
      </c>
      <c r="M22" s="17">
        <f>'Datos Actividad'!$Y18*'FE Sectorial'!$H21*'FE Sectorial'!N21/1000/1000</f>
        <v>1.1395800483091789</v>
      </c>
      <c r="N22" s="17">
        <f>'Datos Actividad'!$Y18*'FE Sectorial'!$H21*'FE Sectorial'!O21/1000/1000</f>
        <v>1.0289661835748793</v>
      </c>
      <c r="O22" s="87">
        <f>IF(D22&lt;400,H22+I22*'Factores generales'!$M$41+J22*'Factores generales'!$N$41,I22*'Factores generales'!$M$41+J22*'Factores generales'!$N$41)</f>
        <v>15693.384761275362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Actividad'!$Y19*'FE Sectorial'!$H22*'FE Sectorial'!I22*'FE Sectorial'!P22/1000</f>
        <v>457393.36499999993</v>
      </c>
      <c r="I23" s="17">
        <f>'Datos Actividad'!$Y19*'FE Sectorial'!$H22*'FE Sectorial'!J22/1000/1000</f>
        <v>18.704999999999998</v>
      </c>
      <c r="J23" s="17">
        <f>'Datos Actividad'!$Y19*'FE Sectorial'!$H22*'FE Sectorial'!K22/1000/1000</f>
        <v>3.7410000000000001</v>
      </c>
      <c r="K23" s="17">
        <f>'Datos Actividad'!$Y19*'FE Sectorial'!$H22*'FE Sectorial'!L22/1000/1000</f>
        <v>1247</v>
      </c>
      <c r="L23" s="17">
        <f>'Datos Actividad'!$Y19*'FE Sectorial'!$H22*'FE Sectorial'!M22/1000/1000</f>
        <v>93.525000000000006</v>
      </c>
      <c r="M23" s="17">
        <f>'Datos Actividad'!$Y19*'FE Sectorial'!$H22*'FE Sectorial'!N22/1000/1000</f>
        <v>31.175000000000001</v>
      </c>
      <c r="N23" s="17">
        <f>'Datos Actividad'!$Y19*'FE Sectorial'!$H22*'FE Sectorial'!O22/1000/1000</f>
        <v>226.2</v>
      </c>
      <c r="O23" s="87">
        <f>IF(D23&lt;400,H23+I23*'Factores generales'!$M$41+J23*'Factores generales'!$N$41,I23*'Factores generales'!$M$41+J23*'Factores generales'!$N$41)</f>
        <v>458945.87999999995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Actividad'!$Y20*'FE Sectorial'!$H23*'FE Sectorial'!I23*'FE Sectorial'!P23/1000</f>
        <v>4045866.1329240003</v>
      </c>
      <c r="I24" s="17">
        <f>'Datos Actividad'!$Y20*'FE Sectorial'!$H23*'FE Sectorial'!J23/1000/1000</f>
        <v>158.400522</v>
      </c>
      <c r="J24" s="17">
        <f>'Datos Actividad'!$Y20*'FE Sectorial'!$H23*'FE Sectorial'!K23/1000/1000</f>
        <v>31.680104400000001</v>
      </c>
      <c r="K24" s="17">
        <f>'Datos Actividad'!$Y20*'FE Sectorial'!$H23*'FE Sectorial'!L23/1000/1000</f>
        <v>10560.034800000001</v>
      </c>
      <c r="L24" s="17">
        <f>'Datos Actividad'!$Y20*'FE Sectorial'!$H23*'FE Sectorial'!M23/1000/1000</f>
        <v>792.00261</v>
      </c>
      <c r="M24" s="17">
        <f>'Datos Actividad'!$Y20*'FE Sectorial'!$H23*'FE Sectorial'!N23/1000/1000</f>
        <v>264.00087000000002</v>
      </c>
      <c r="N24" s="17">
        <f>'Datos Actividad'!$Y20*'FE Sectorial'!$H23*'FE Sectorial'!O23/1000/1000</f>
        <v>10455.48</v>
      </c>
      <c r="O24" s="87">
        <f>IF(D24&lt;400,H24+I24*'Factores generales'!$M$41+J24*'Factores generales'!$N$41,I24*'Factores generales'!$M$41+J24*'Factores generales'!$N$41)</f>
        <v>4059013.3762500002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Actividad'!$Y21*'FE Sectorial'!$H24*'FE Sectorial'!I24*'FE Sectorial'!P24/1000</f>
        <v>367741.77631578944</v>
      </c>
      <c r="I25" s="17">
        <f>'Datos Actividad'!$Y21*'FE Sectorial'!$H24*'FE Sectorial'!J24/1000/1000</f>
        <v>3.8486842105263159</v>
      </c>
      <c r="J25" s="17">
        <f>'Datos Actividad'!$Y21*'FE Sectorial'!$H24*'FE Sectorial'!K24/1000/1000</f>
        <v>5.7730263157894752</v>
      </c>
      <c r="K25" s="17">
        <f>'Datos Actividad'!$Y21*'FE Sectorial'!$H24*'FE Sectorial'!L24/1000/1000</f>
        <v>1154.6052631578948</v>
      </c>
      <c r="L25" s="17">
        <f>'Datos Actividad'!$Y21*'FE Sectorial'!$H24*'FE Sectorial'!M24/1000/1000</f>
        <v>76.973684210526315</v>
      </c>
      <c r="M25" s="17">
        <f>'Datos Actividad'!$Y21*'FE Sectorial'!$H24*'FE Sectorial'!N24/1000/1000</f>
        <v>19.243421052631579</v>
      </c>
      <c r="N25" s="17">
        <f>'Datos Actividad'!$Y21*'FE Sectorial'!$H24*'FE Sectorial'!O24/1000/1000</f>
        <v>0</v>
      </c>
      <c r="O25" s="87">
        <f>IF(D25&lt;400,H25+I25*'Factores generales'!$M$41+J25*'Factores generales'!$N$41,I25*'Factores generales'!$M$41+J25*'Factores generales'!$N$41)</f>
        <v>369612.23684210522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3551040.0124356961</v>
      </c>
      <c r="I26" s="134">
        <f t="shared" ref="I26:O26" si="6">I27+I28</f>
        <v>62.820669527999996</v>
      </c>
      <c r="J26" s="134">
        <f t="shared" si="6"/>
        <v>9.4284534527999995</v>
      </c>
      <c r="K26" s="134">
        <f t="shared" si="6"/>
        <v>9654.5916791999989</v>
      </c>
      <c r="L26" s="134">
        <f t="shared" si="6"/>
        <v>1239.56741556</v>
      </c>
      <c r="M26" s="134">
        <f t="shared" si="6"/>
        <v>310.35979764000001</v>
      </c>
      <c r="N26" s="134">
        <f t="shared" si="6"/>
        <v>2304.9</v>
      </c>
      <c r="O26" s="134">
        <f t="shared" si="6"/>
        <v>3555282.0670661516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3551040.0124356961</v>
      </c>
      <c r="I28" s="15">
        <f t="shared" si="7"/>
        <v>62.820669527999996</v>
      </c>
      <c r="J28" s="15">
        <f t="shared" si="7"/>
        <v>9.4284534527999995</v>
      </c>
      <c r="K28" s="15">
        <f t="shared" si="7"/>
        <v>9654.5916791999989</v>
      </c>
      <c r="L28" s="15">
        <f t="shared" si="7"/>
        <v>1239.56741556</v>
      </c>
      <c r="M28" s="15">
        <f t="shared" si="7"/>
        <v>310.35979764000001</v>
      </c>
      <c r="N28" s="15">
        <f t="shared" si="7"/>
        <v>2304.9</v>
      </c>
      <c r="O28" s="15">
        <f t="shared" si="7"/>
        <v>3555282.0670661516</v>
      </c>
    </row>
    <row r="29" spans="1:15" outlineLevel="1" x14ac:dyDescent="0.25">
      <c r="B29" s="1" t="s">
        <v>7</v>
      </c>
      <c r="G29" s="1"/>
      <c r="H29" s="95">
        <f t="shared" ref="H29:O29" si="8">H30+H31</f>
        <v>200916.7776</v>
      </c>
      <c r="I29" s="95">
        <f t="shared" si="8"/>
        <v>2.1671999999999998</v>
      </c>
      <c r="J29" s="95">
        <f t="shared" si="8"/>
        <v>3.2508000000000008</v>
      </c>
      <c r="K29" s="95">
        <f t="shared" si="8"/>
        <v>650.16</v>
      </c>
      <c r="L29" s="95">
        <f t="shared" si="8"/>
        <v>43.344000000000001</v>
      </c>
      <c r="M29" s="95">
        <f t="shared" si="8"/>
        <v>10.836</v>
      </c>
      <c r="N29" s="95">
        <f t="shared" si="8"/>
        <v>2074.8000000000002</v>
      </c>
      <c r="O29" s="95">
        <f t="shared" si="8"/>
        <v>201970.0368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Actividad'!$Y26*'FE Sectorial'!$H29*'FE Sectorial'!I29*'FE Sectorial'!P29/1000</f>
        <v>200916.7776</v>
      </c>
      <c r="I30" s="17">
        <f>'Datos Actividad'!$Y26*'FE Sectorial'!$H29*'FE Sectorial'!J29/1000/1000</f>
        <v>2.1671999999999998</v>
      </c>
      <c r="J30" s="17">
        <f>'Datos Actividad'!$Y26*'FE Sectorial'!$H29*'FE Sectorial'!K29/1000/1000</f>
        <v>3.2508000000000008</v>
      </c>
      <c r="K30" s="17">
        <f>'Datos Actividad'!$Y26*'FE Sectorial'!$H29*'FE Sectorial'!L29/1000/1000</f>
        <v>650.16</v>
      </c>
      <c r="L30" s="17">
        <f>'Datos Actividad'!$Y26*'FE Sectorial'!$H29*'FE Sectorial'!M29/1000/1000</f>
        <v>43.344000000000001</v>
      </c>
      <c r="M30" s="17">
        <f>'Datos Actividad'!$Y26*'FE Sectorial'!$H29*'FE Sectorial'!N29/1000/1000</f>
        <v>10.836</v>
      </c>
      <c r="N30" s="17">
        <f>'Datos Actividad'!$Y26*'FE Sectorial'!$H29*'FE Sectorial'!O29/1000/1000</f>
        <v>2074.8000000000002</v>
      </c>
      <c r="O30" s="87">
        <f>IF(D30&lt;400,H30+I30*'Factores generales'!$M$41+J30*'Factores generales'!$N$41,I30*'Factores generales'!$M$41+J30*'Factores generales'!$N$41)</f>
        <v>201970.0368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Actividad'!$Y27*'FE Sectorial'!$H30*'FE Sectorial'!I30*'FE Sectorial'!P30/1000</f>
        <v>0</v>
      </c>
      <c r="I31" s="17">
        <f>'Datos Actividad'!$Y27*'FE Sectorial'!$H30*'FE Sectorial'!J30/1000/1000</f>
        <v>0</v>
      </c>
      <c r="J31" s="17">
        <f>'Datos Actividad'!$Y27*'FE Sectorial'!$H30*'FE Sectorial'!K30/1000/1000</f>
        <v>0</v>
      </c>
      <c r="K31" s="17">
        <f>'Datos Actividad'!$Y27*'FE Sectorial'!$H30*'FE Sectorial'!L30/1000/1000</f>
        <v>0</v>
      </c>
      <c r="L31" s="17">
        <f>'Datos Actividad'!$Y27*'FE Sectorial'!$H30*'FE Sectorial'!M30/1000/1000</f>
        <v>0</v>
      </c>
      <c r="M31" s="17">
        <f>'Datos Actividad'!$Y27*'FE Sectorial'!$H30*'FE Sectorial'!N30/1000/1000</f>
        <v>0</v>
      </c>
      <c r="N31" s="17">
        <f>'Datos Actividad'!$Y27*'FE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3350123.2348356959</v>
      </c>
      <c r="I32" s="17">
        <f t="shared" ref="I32:O32" si="9">I33+I34+I35</f>
        <v>60.653469527999995</v>
      </c>
      <c r="J32" s="17">
        <f t="shared" si="9"/>
        <v>6.1776534527999996</v>
      </c>
      <c r="K32" s="17">
        <f t="shared" si="9"/>
        <v>9004.4316791999991</v>
      </c>
      <c r="L32" s="17">
        <f t="shared" si="9"/>
        <v>1196.2234155599999</v>
      </c>
      <c r="M32" s="17">
        <f t="shared" si="9"/>
        <v>299.52379764</v>
      </c>
      <c r="N32" s="17">
        <f t="shared" si="9"/>
        <v>230.1</v>
      </c>
      <c r="O32" s="17">
        <f t="shared" si="9"/>
        <v>3353312.0302661518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Actividad'!$Y29*'FE Sectorial'!$H32*'FE Sectorial'!I32*'FE Sectorial'!P32/1000</f>
        <v>3322957.4155506957</v>
      </c>
      <c r="I33" s="17">
        <f>'Datos Actividad'!$Y29*'FE Sectorial'!$H32*'FE Sectorial'!J32/1000/1000</f>
        <v>59.530404527999998</v>
      </c>
      <c r="J33" s="17">
        <f>'Datos Actividad'!$Y29*'FE Sectorial'!$H32*'FE Sectorial'!K32/1000/1000</f>
        <v>5.9530404527999998</v>
      </c>
      <c r="K33" s="17">
        <f>'Datos Actividad'!$Y29*'FE Sectorial'!$H32*'FE Sectorial'!L32/1000/1000</f>
        <v>8929.5606791999999</v>
      </c>
      <c r="L33" s="17">
        <f>'Datos Actividad'!$Y29*'FE Sectorial'!$H32*'FE Sectorial'!M32/1000/1000</f>
        <v>1190.6080905599999</v>
      </c>
      <c r="M33" s="17">
        <f>'Datos Actividad'!$Y29*'FE Sectorial'!$H32*'FE Sectorial'!N32/1000/1000</f>
        <v>297.65202263999998</v>
      </c>
      <c r="N33" s="17">
        <f>'Datos Actividad'!$Y29*'FE Sectorial'!$H32*'FE Sectorial'!O32/1000/1000</f>
        <v>0</v>
      </c>
      <c r="O33" s="87">
        <f>IF(D33&lt;400,H33+I33*'Factores generales'!$M$41+J33*'Factores generales'!$N$41,I33*'Factores generales'!$M$41+J33*'Factores generales'!$N$41)</f>
        <v>3326052.9965861519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Actividad'!$Y30*'FE Sectorial'!$H33*'FE Sectorial'!I33*'FE Sectorial'!P33/1000</f>
        <v>0</v>
      </c>
      <c r="I34" s="17">
        <f>'Datos Actividad'!$Y30*'FE Sectorial'!$H33*'FE Sectorial'!J33/1000/1000</f>
        <v>0</v>
      </c>
      <c r="J34" s="17">
        <f>'Datos Actividad'!$Y30*'FE Sectorial'!$H33*'FE Sectorial'!K33/1000/1000</f>
        <v>0</v>
      </c>
      <c r="K34" s="17">
        <f>'Datos Actividad'!$Y30*'FE Sectorial'!$H33*'FE Sectorial'!L33/1000/1000</f>
        <v>0</v>
      </c>
      <c r="L34" s="17">
        <f>'Datos Actividad'!$Y30*'FE Sectorial'!$H33*'FE Sectorial'!M33/1000/1000</f>
        <v>0</v>
      </c>
      <c r="M34" s="17">
        <f>'Datos Actividad'!$Y30*'FE Sectorial'!$H33*'FE Sectorial'!N33/1000/1000</f>
        <v>0</v>
      </c>
      <c r="N34" s="17">
        <f>'Datos Actividad'!$Y30*'FE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Actividad'!$Y31*'FE Sectorial'!$H34*'FE Sectorial'!I34*'FE Sectorial'!P34/1000</f>
        <v>27165.819285000001</v>
      </c>
      <c r="I35" s="17">
        <f>'Datos Actividad'!$Y31*'FE Sectorial'!$H34*'FE Sectorial'!J34/1000/1000</f>
        <v>1.123065</v>
      </c>
      <c r="J35" s="17">
        <f>'Datos Actividad'!$Y31*'FE Sectorial'!$H34*'FE Sectorial'!K34/1000/1000</f>
        <v>0.22461300000000001</v>
      </c>
      <c r="K35" s="17">
        <f>'Datos Actividad'!$Y31*'FE Sectorial'!$H34*'FE Sectorial'!L34/1000/1000</f>
        <v>74.870999999999995</v>
      </c>
      <c r="L35" s="17">
        <f>'Datos Actividad'!$Y31*'FE Sectorial'!$H34*'FE Sectorial'!M34/1000/1000</f>
        <v>5.6153249999999995</v>
      </c>
      <c r="M35" s="17">
        <f>'Datos Actividad'!$Y31*'FE Sectorial'!$H34*'FE Sectorial'!N34/1000/1000</f>
        <v>1.8717750000000002</v>
      </c>
      <c r="N35" s="17">
        <f>'Datos Actividad'!$Y31*'FE Sectorial'!$H34*'FE Sectorial'!O34/1000/1000</f>
        <v>230.1</v>
      </c>
      <c r="O35" s="87">
        <f>IF(D35&lt;400,H35+I35*'Factores generales'!$M$41+J35*'Factores generales'!$N$41,I35*'Factores generales'!$M$41+J35*'Factores generales'!$N$41)</f>
        <v>27259.03368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17112415.289328191</v>
      </c>
      <c r="I36" s="129">
        <f t="shared" si="10"/>
        <v>2435.5357293410616</v>
      </c>
      <c r="J36" s="129">
        <f t="shared" si="10"/>
        <v>346.25195158097318</v>
      </c>
      <c r="K36" s="129">
        <f t="shared" si="10"/>
        <v>50588.279709432551</v>
      </c>
      <c r="L36" s="129">
        <f t="shared" si="10"/>
        <v>283810.24696316122</v>
      </c>
      <c r="M36" s="129">
        <f t="shared" si="10"/>
        <v>5029.3220147982865</v>
      </c>
      <c r="N36" s="129">
        <f t="shared" si="10"/>
        <v>9017.1526544488952</v>
      </c>
      <c r="O36" s="129">
        <f t="shared" si="10"/>
        <v>17352620.039371297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2690907.9124384411</v>
      </c>
      <c r="I37" s="134">
        <f t="shared" ref="I37:O37" si="11">SUM(I38:I44)</f>
        <v>20.582307281293861</v>
      </c>
      <c r="J37" s="134">
        <f t="shared" si="11"/>
        <v>16.19516055269079</v>
      </c>
      <c r="K37" s="134">
        <f t="shared" si="11"/>
        <v>4602.0171448256579</v>
      </c>
      <c r="L37" s="134">
        <f t="shared" si="11"/>
        <v>1829.2060605440788</v>
      </c>
      <c r="M37" s="134">
        <f t="shared" si="11"/>
        <v>254.37864166962717</v>
      </c>
      <c r="N37" s="134">
        <f t="shared" si="11"/>
        <v>0</v>
      </c>
      <c r="O37" s="134">
        <f t="shared" si="11"/>
        <v>2696360.6406626827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Actividad'!$Y34*'FE Sectorial'!$H37*'FE Sectorial'!I37*'FE Sectorial'!P37/1000</f>
        <v>0</v>
      </c>
      <c r="I38" s="17">
        <f>'Datos Actividad'!$Y34*'FE Sectorial'!$H37*'FE Sectorial'!J37/1000/1000</f>
        <v>0</v>
      </c>
      <c r="J38" s="17">
        <f>'Datos Actividad'!$Y34*'FE Sectorial'!$H37*'FE Sectorial'!K37/1000/1000</f>
        <v>0</v>
      </c>
      <c r="K38" s="17">
        <f>'Datos Actividad'!$Y34*'FE Sectorial'!$H37*'FE Sectorial'!L37/1000/1000</f>
        <v>0</v>
      </c>
      <c r="L38" s="17">
        <f>'Datos Actividad'!$Y34*'FE Sectorial'!$H37*'FE Sectorial'!M37/1000/1000</f>
        <v>0</v>
      </c>
      <c r="M38" s="17">
        <f>'Datos Actividad'!$Y34*'FE Sectorial'!$H37*'FE Sectorial'!N37/1000/1000</f>
        <v>0</v>
      </c>
      <c r="N38" s="17">
        <f>'Datos Actividad'!$Y34*'FE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Actividad'!$Y35*'FE Sectorial'!$H38*'FE Sectorial'!I38*'FE Sectorial'!P38/1000</f>
        <v>1522951.4462321254</v>
      </c>
      <c r="I39" s="17">
        <f>'Datos Actividad'!$Y35*'FE Sectorial'!$H38*'FE Sectorial'!J38/1000/1000</f>
        <v>5.8869402637500006</v>
      </c>
      <c r="J39" s="17">
        <f>'Datos Actividad'!$Y35*'FE Sectorial'!$H38*'FE Sectorial'!K38/1000/1000</f>
        <v>0.58869402637500012</v>
      </c>
      <c r="K39" s="17">
        <f>'Datos Actividad'!$Y35*'FE Sectorial'!$H38*'FE Sectorial'!L38/1000/1000</f>
        <v>883.04103956250003</v>
      </c>
      <c r="L39" s="17">
        <f>'Datos Actividad'!$Y35*'FE Sectorial'!$H38*'FE Sectorial'!M38/1000/1000</f>
        <v>176.60820791250001</v>
      </c>
      <c r="M39" s="17">
        <f>'Datos Actividad'!$Y35*'FE Sectorial'!$H38*'FE Sectorial'!N38/1000/1000</f>
        <v>29.434701318750005</v>
      </c>
      <c r="N39" s="17">
        <f>'Datos Actividad'!$Y35*'FE Sectorial'!$H38*'FE Sectorial'!O38/1000/1000</f>
        <v>0</v>
      </c>
      <c r="O39" s="87">
        <f>IF(D39&lt;400,H39+I39*'Factores generales'!$M$41+J39*'Factores generales'!$N$41,I39*'Factores generales'!$M$41+J39*'Factores generales'!$N$41)</f>
        <v>1523257.5671258406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Actividad'!$Y36*'FE Sectorial'!$H39*'FE Sectorial'!I39*'FE Sectorial'!P39/1000</f>
        <v>203111.00568000003</v>
      </c>
      <c r="I40" s="17">
        <f>'Datos Actividad'!$Y36*'FE Sectorial'!$H39*'FE Sectorial'!J39/1000/1000</f>
        <v>4.5975600000000014</v>
      </c>
      <c r="J40" s="17">
        <f>'Datos Actividad'!$Y36*'FE Sectorial'!$H39*'FE Sectorial'!K39/1000/1000</f>
        <v>0.45975600000000016</v>
      </c>
      <c r="K40" s="17">
        <f>'Datos Actividad'!$Y36*'FE Sectorial'!$H39*'FE Sectorial'!L39/1000/1000</f>
        <v>689.63400000000013</v>
      </c>
      <c r="L40" s="17">
        <f>'Datos Actividad'!$Y36*'FE Sectorial'!$H39*'FE Sectorial'!M39/1000/1000</f>
        <v>137.92680000000001</v>
      </c>
      <c r="M40" s="17">
        <f>'Datos Actividad'!$Y36*'FE Sectorial'!$H39*'FE Sectorial'!N39/1000/1000</f>
        <v>22.987800000000004</v>
      </c>
      <c r="N40" s="17">
        <f>'Datos Actividad'!$Y36*'FE Sectorial'!$H39*'FE Sectorial'!O39/1000/1000</f>
        <v>0</v>
      </c>
      <c r="O40" s="87">
        <f>IF(D40&lt;400,H40+I40*'Factores generales'!$M$41+J40*'Factores generales'!$N$41,I40*'Factores generales'!$M$41+J40*'Factores generales'!$N$41)</f>
        <v>203350.07880000005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Actividad'!$Y37*'FE Sectorial'!$H40*'FE Sectorial'!I40*'FE Sectorial'!P40/1000</f>
        <v>0</v>
      </c>
      <c r="I41" s="17">
        <f>'Datos Actividad'!$Y37*'FE Sectorial'!$H40*'FE Sectorial'!J40/1000/1000</f>
        <v>0</v>
      </c>
      <c r="J41" s="17">
        <f>'Datos Actividad'!$Y37*'FE Sectorial'!$H40*'FE Sectorial'!K40/1000/1000</f>
        <v>0</v>
      </c>
      <c r="K41" s="17">
        <f>'Datos Actividad'!$Y37*'FE Sectorial'!$H40*'FE Sectorial'!L40/1000/1000</f>
        <v>0</v>
      </c>
      <c r="L41" s="17">
        <f>'Datos Actividad'!$Y37*'FE Sectorial'!$H40*'FE Sectorial'!M40/1000/1000</f>
        <v>0</v>
      </c>
      <c r="M41" s="17">
        <f>'Datos Actividad'!$Y37*'FE Sectorial'!$H40*'FE Sectorial'!N40/1000/1000</f>
        <v>0</v>
      </c>
      <c r="N41" s="17">
        <f>'Datos Actividad'!$Y37*'FE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Actividad'!$Y38*'FE Sectorial'!$H41*'FE Sectorial'!I41*'FE Sectorial'!P41/1000</f>
        <v>0</v>
      </c>
      <c r="I42" s="17">
        <f>'Datos Actividad'!$Y38*'FE Sectorial'!$H41*'FE Sectorial'!J41/1000/1000</f>
        <v>0</v>
      </c>
      <c r="J42" s="17">
        <f>'Datos Actividad'!$Y38*'FE Sectorial'!$H41*'FE Sectorial'!K41/1000/1000</f>
        <v>0</v>
      </c>
      <c r="K42" s="17">
        <f>'Datos Actividad'!$Y38*'FE Sectorial'!$H41*'FE Sectorial'!L41/1000/1000</f>
        <v>0</v>
      </c>
      <c r="L42" s="17">
        <f>'Datos Actividad'!$Y38*'FE Sectorial'!$H41*'FE Sectorial'!M41/1000/1000</f>
        <v>0</v>
      </c>
      <c r="M42" s="17">
        <f>'Datos Actividad'!$Y38*'FE Sectorial'!$H41*'FE Sectorial'!N41/1000/1000</f>
        <v>0</v>
      </c>
      <c r="N42" s="17">
        <f>'Datos Actividad'!$Y38*'FE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Actividad'!$Y39*'FE Sectorial'!$H42*'FE Sectorial'!I42*'FE Sectorial'!P42/1000</f>
        <v>612902.96052631573</v>
      </c>
      <c r="I43" s="17">
        <f>'Datos Actividad'!$Y39*'FE Sectorial'!$H42*'FE Sectorial'!J42/1000/1000</f>
        <v>6.4144736842105257</v>
      </c>
      <c r="J43" s="17">
        <f>'Datos Actividad'!$Y39*'FE Sectorial'!$H42*'FE Sectorial'!K42/1000/1000</f>
        <v>9.6217105263157894</v>
      </c>
      <c r="K43" s="17">
        <f>'Datos Actividad'!$Y39*'FE Sectorial'!$H42*'FE Sectorial'!L42/1000/1000</f>
        <v>1924.3421052631577</v>
      </c>
      <c r="L43" s="17">
        <f>'Datos Actividad'!$Y39*'FE Sectorial'!$H42*'FE Sectorial'!M42/1000/1000</f>
        <v>962.17105263157885</v>
      </c>
      <c r="M43" s="17">
        <f>'Datos Actividad'!$Y39*'FE Sectorial'!$H42*'FE Sectorial'!N42/1000/1000</f>
        <v>128.28947368421049</v>
      </c>
      <c r="N43" s="17">
        <f>'Datos Actividad'!$Y39*'FE Sectorial'!$H42*'FE Sectorial'!O42/1000/1000</f>
        <v>0</v>
      </c>
      <c r="O43" s="87">
        <f>IF(D43&lt;400,H43+I43*'Factores generales'!$M$41+J43*'Factores generales'!$N$41,I43*'Factores generales'!$M$41+J43*'Factores generales'!$N$41)</f>
        <v>616020.39473684202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Actividad'!$Y40*'FE Sectorial'!$H43*'FE Sectorial'!I43*'FE Sectorial'!P43/1000</f>
        <v>351942.49999999994</v>
      </c>
      <c r="I44" s="17">
        <f>'Datos Actividad'!$Y40*'FE Sectorial'!$H43*'FE Sectorial'!J43/1000/1000</f>
        <v>3.6833333333333331</v>
      </c>
      <c r="J44" s="17">
        <f>'Datos Actividad'!$Y40*'FE Sectorial'!$H43*'FE Sectorial'!K43/1000/1000</f>
        <v>5.5250000000000004</v>
      </c>
      <c r="K44" s="17">
        <f>'Datos Actividad'!$Y40*'FE Sectorial'!$H43*'FE Sectorial'!L43/1000/1000</f>
        <v>1105</v>
      </c>
      <c r="L44" s="17">
        <f>'Datos Actividad'!$Y40*'FE Sectorial'!$H43*'FE Sectorial'!M43/1000/1000</f>
        <v>552.5</v>
      </c>
      <c r="M44" s="17">
        <f>'Datos Actividad'!$Y40*'FE Sectorial'!$H43*'FE Sectorial'!N43/1000/1000</f>
        <v>73.666666666666657</v>
      </c>
      <c r="N44" s="17">
        <f>'Datos Actividad'!$Y40*'FE Sectorial'!$H43*'FE Sectorial'!O43/1000/1000</f>
        <v>0</v>
      </c>
      <c r="O44" s="87">
        <f>IF(D44&lt;400,H44+I44*'Factores generales'!$M$41+J44*'Factores generales'!$N$41,I44*'Factores generales'!$M$41+J44*'Factores generales'!$N$41)</f>
        <v>353732.59999999992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Actividad'!$Y42*'FE Sectorial'!$H45*'FE Sectorial'!I45*'FE Sectorial'!P45/1000</f>
        <v>0</v>
      </c>
      <c r="I46" s="17">
        <f>'Datos Actividad'!$Y42*'FE Sectorial'!$H45*'FE Sectorial'!J45/1000/1000</f>
        <v>0</v>
      </c>
      <c r="J46" s="17">
        <f>'Datos Actividad'!$Y42*'FE Sectorial'!$H45*'FE Sectorial'!K45/1000/1000</f>
        <v>0</v>
      </c>
      <c r="K46" s="17">
        <f>'Datos Actividad'!$Y42*'FE Sectorial'!$H45*'FE Sectorial'!L45/1000/1000</f>
        <v>0</v>
      </c>
      <c r="L46" s="17">
        <f>'Datos Actividad'!$Y42*'FE Sectorial'!$H45*'FE Sectorial'!M45/1000/1000</f>
        <v>0</v>
      </c>
      <c r="M46" s="17">
        <f>'Datos Actividad'!$Y42*'FE Sectorial'!$H45*'FE Sectorial'!N45/1000/1000</f>
        <v>0</v>
      </c>
      <c r="N46" s="17">
        <f>'Datos Actividad'!$Y42*'FE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52328.680335360004</v>
      </c>
      <c r="I47" s="134">
        <f t="shared" ref="I47:O47" si="13">SUM(I48:I55)</f>
        <v>238.63000883406113</v>
      </c>
      <c r="J47" s="134">
        <f t="shared" si="13"/>
        <v>32.955759184330958</v>
      </c>
      <c r="K47" s="134">
        <f t="shared" si="13"/>
        <v>1183.0753273556425</v>
      </c>
      <c r="L47" s="134">
        <f t="shared" si="13"/>
        <v>31737.240471573066</v>
      </c>
      <c r="M47" s="134">
        <f t="shared" si="13"/>
        <v>416.44000355150541</v>
      </c>
      <c r="N47" s="134">
        <f t="shared" si="13"/>
        <v>0</v>
      </c>
      <c r="O47" s="134">
        <f t="shared" si="13"/>
        <v>149276.59060485999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Actividad'!$Y44*'FE Sectorial'!$H47*'FE Sectorial'!I47*'FE Sectorial'!P47/1000</f>
        <v>0</v>
      </c>
      <c r="I48" s="17">
        <f>'Datos Actividad'!$Y44*'FE Sectorial'!$H47*'FE Sectorial'!J47/1000/1000</f>
        <v>0</v>
      </c>
      <c r="J48" s="17">
        <f>'Datos Actividad'!$Y44*'FE Sectorial'!$H47*'FE Sectorial'!K47/1000/1000</f>
        <v>0</v>
      </c>
      <c r="K48" s="17">
        <f>'Datos Actividad'!$Y44*'FE Sectorial'!$H47*'FE Sectorial'!L47/1000/1000</f>
        <v>0</v>
      </c>
      <c r="L48" s="17">
        <f>'Datos Actividad'!$Y44*'FE Sectorial'!$H47*'FE Sectorial'!M47/1000/1000</f>
        <v>0</v>
      </c>
      <c r="M48" s="17">
        <f>'Datos Actividad'!$Y44*'FE Sectorial'!$H47*'FE Sectorial'!N47/1000/1000</f>
        <v>0</v>
      </c>
      <c r="N48" s="17">
        <f>'Datos Actividad'!$Y44*'FE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Actividad'!$Y45*'FE Sectorial'!$H48*'FE Sectorial'!I48*'FE Sectorial'!P48/1000</f>
        <v>52328.680335360004</v>
      </c>
      <c r="I49" s="17">
        <f>'Datos Actividad'!$Y45*'FE Sectorial'!$H48*'FE Sectorial'!J48/1000/1000</f>
        <v>0.91304928000000007</v>
      </c>
      <c r="J49" s="17">
        <f>'Datos Actividad'!$Y45*'FE Sectorial'!$H48*'FE Sectorial'!K48/1000/1000</f>
        <v>9.1304928000000021E-2</v>
      </c>
      <c r="K49" s="17">
        <f>'Datos Actividad'!$Y45*'FE Sectorial'!$H48*'FE Sectorial'!L48/1000/1000</f>
        <v>136.957392</v>
      </c>
      <c r="L49" s="17">
        <f>'Datos Actividad'!$Y45*'FE Sectorial'!$H48*'FE Sectorial'!M48/1000/1000</f>
        <v>27.391478400000004</v>
      </c>
      <c r="M49" s="17">
        <f>'Datos Actividad'!$Y45*'FE Sectorial'!$H48*'FE Sectorial'!N48/1000/1000</f>
        <v>4.5652464000000004</v>
      </c>
      <c r="N49" s="17">
        <f>'Datos Actividad'!$Y45*'FE Sectorial'!$H48*'FE Sectorial'!O48/1000/1000</f>
        <v>0</v>
      </c>
      <c r="O49" s="87">
        <f>IF(D49&lt;400,H49+I49*'Factores generales'!$M$41+J49*'Factores generales'!$N$41,I49*'Factores generales'!$M$41+J49*'Factores generales'!$N$41)</f>
        <v>52376.158897920002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Actividad'!$Y46*'FE Sectorial'!$H49*'FE Sectorial'!I49*'FE Sectorial'!P49/1000</f>
        <v>0</v>
      </c>
      <c r="I50" s="17">
        <f>'Datos Actividad'!$Y46*'FE Sectorial'!$H49*'FE Sectorial'!J49/1000/1000</f>
        <v>0</v>
      </c>
      <c r="J50" s="17">
        <f>'Datos Actividad'!$Y46*'FE Sectorial'!$H49*'FE Sectorial'!K49/1000/1000</f>
        <v>0</v>
      </c>
      <c r="K50" s="17">
        <f>'Datos Actividad'!$Y46*'FE Sectorial'!$H49*'FE Sectorial'!L49/1000/1000</f>
        <v>0</v>
      </c>
      <c r="L50" s="17">
        <f>'Datos Actividad'!$Y46*'FE Sectorial'!$H49*'FE Sectorial'!M49/1000/1000</f>
        <v>0</v>
      </c>
      <c r="M50" s="17">
        <f>'Datos Actividad'!$Y46*'FE Sectorial'!$H49*'FE Sectorial'!N49/1000/1000</f>
        <v>0</v>
      </c>
      <c r="N50" s="17">
        <f>'Datos Actividad'!$Y46*'FE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Actividad'!$Y47*'FE Sectorial'!$H50*'FE Sectorial'!I50*'FE Sectorial'!P50/1000</f>
        <v>0</v>
      </c>
      <c r="I51" s="17">
        <f>'Datos Actividad'!$Y47*'FE Sectorial'!$H50*'FE Sectorial'!J50/1000/1000</f>
        <v>0</v>
      </c>
      <c r="J51" s="17">
        <f>'Datos Actividad'!$Y47*'FE Sectorial'!$H50*'FE Sectorial'!K50/1000/1000</f>
        <v>0</v>
      </c>
      <c r="K51" s="17">
        <f>'Datos Actividad'!$Y47*'FE Sectorial'!$H50*'FE Sectorial'!L50/1000/1000</f>
        <v>0</v>
      </c>
      <c r="L51" s="17">
        <f>'Datos Actividad'!$Y47*'FE Sectorial'!$H50*'FE Sectorial'!M50/1000/1000</f>
        <v>0</v>
      </c>
      <c r="M51" s="17">
        <f>'Datos Actividad'!$Y47*'FE Sectorial'!$H50*'FE Sectorial'!N50/1000/1000</f>
        <v>0</v>
      </c>
      <c r="N51" s="17">
        <f>'Datos Actividad'!$Y47*'FE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Actividad'!$Y48*'FE Sectorial'!$H51*'FE Sectorial'!I51*'FE Sectorial'!P51/1000</f>
        <v>0</v>
      </c>
      <c r="I52" s="17">
        <f>'Datos Actividad'!$Y48*'FE Sectorial'!$H51*'FE Sectorial'!J51/1000/1000</f>
        <v>0</v>
      </c>
      <c r="J52" s="17">
        <f>'Datos Actividad'!$Y48*'FE Sectorial'!$H51*'FE Sectorial'!K51/1000/1000</f>
        <v>0</v>
      </c>
      <c r="K52" s="17">
        <f>'Datos Actividad'!$Y48*'FE Sectorial'!$H51*'FE Sectorial'!L51/1000/1000</f>
        <v>0</v>
      </c>
      <c r="L52" s="17">
        <f>'Datos Actividad'!$Y48*'FE Sectorial'!$H51*'FE Sectorial'!M51/1000/1000</f>
        <v>0</v>
      </c>
      <c r="M52" s="17">
        <f>'Datos Actividad'!$Y48*'FE Sectorial'!$H51*'FE Sectorial'!N51/1000/1000</f>
        <v>0</v>
      </c>
      <c r="N52" s="17">
        <f>'Datos Actividad'!$Y48*'FE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Actividad'!$Y49*'FE Sectorial'!$H52*'FE Sectorial'!I52*'FE Sectorial'!P52/1000</f>
        <v>686898.91954888264</v>
      </c>
      <c r="I53" s="17">
        <f>'Datos Actividad'!$Y49*'FE Sectorial'!$H52*'FE Sectorial'!J52/1000/1000</f>
        <v>236.86169639616639</v>
      </c>
      <c r="J53" s="17">
        <f>'Datos Actividad'!$Y49*'FE Sectorial'!$H52*'FE Sectorial'!K52/1000/1000</f>
        <v>31.581559519488856</v>
      </c>
      <c r="K53" s="17">
        <f>'Datos Actividad'!$Y49*'FE Sectorial'!$H52*'FE Sectorial'!L52/1000/1000</f>
        <v>789.53898798722139</v>
      </c>
      <c r="L53" s="17">
        <f>'Datos Actividad'!$Y49*'FE Sectorial'!$H52*'FE Sectorial'!M52/1000/1000</f>
        <v>31581.559519488856</v>
      </c>
      <c r="M53" s="17">
        <f>'Datos Actividad'!$Y49*'FE Sectorial'!$H52*'FE Sectorial'!N52/1000/1000</f>
        <v>394.76949399361069</v>
      </c>
      <c r="N53" s="17">
        <f>'Datos Actividad'!$Y49*'FE Sectorial'!$H52*'FE Sectorial'!O52/1000/1000</f>
        <v>0</v>
      </c>
      <c r="O53" s="87">
        <f>IF(D53&lt;400,H53+I53*'Factores generales'!$M$41+J53*'Factores generales'!$N$41,I53*'Factores generales'!$M$41+J53*'Factores generales'!$N$41)</f>
        <v>14764.379075361039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Actividad'!$Y50*'FE Sectorial'!$H53*'FE Sectorial'!I53*'FE Sectorial'!P53/1000</f>
        <v>81720.394736842092</v>
      </c>
      <c r="I54" s="17">
        <f>'Datos Actividad'!$Y50*'FE Sectorial'!$H53*'FE Sectorial'!J53/1000/1000</f>
        <v>0.85526315789473684</v>
      </c>
      <c r="J54" s="17">
        <f>'Datos Actividad'!$Y50*'FE Sectorial'!$H53*'FE Sectorial'!K53/1000/1000</f>
        <v>1.2828947368421055</v>
      </c>
      <c r="K54" s="17">
        <f>'Datos Actividad'!$Y50*'FE Sectorial'!$H53*'FE Sectorial'!L53/1000/1000</f>
        <v>256.57894736842104</v>
      </c>
      <c r="L54" s="17">
        <f>'Datos Actividad'!$Y50*'FE Sectorial'!$H53*'FE Sectorial'!M53/1000/1000</f>
        <v>128.28947368421052</v>
      </c>
      <c r="M54" s="17">
        <f>'Datos Actividad'!$Y50*'FE Sectorial'!$H53*'FE Sectorial'!N53/1000/1000</f>
        <v>17.105263157894736</v>
      </c>
      <c r="N54" s="17">
        <f>'Datos Actividad'!$Y50*'FE Sectorial'!$H53*'FE Sectorial'!O53/1000/1000</f>
        <v>0</v>
      </c>
      <c r="O54" s="87">
        <f>IF(D54&lt;400,H54+I54*'Factores generales'!$M$41+J54*'Factores generales'!$N$41,I54*'Factores generales'!$M$41+J54*'Factores generales'!$N$41)</f>
        <v>82136.052631578932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Actividad'!$Y51*'FE Sectorial'!$H54*'FE Sectorial'!I54*'FE Sectorial'!P54/1000</f>
        <v>0</v>
      </c>
      <c r="I55" s="17">
        <f>'Datos Actividad'!$Y51*'FE Sectorial'!$H54*'FE Sectorial'!J54/1000/1000</f>
        <v>0</v>
      </c>
      <c r="J55" s="17">
        <f>'Datos Actividad'!$Y51*'FE Sectorial'!$H54*'FE Sectorial'!K54/1000/1000</f>
        <v>0</v>
      </c>
      <c r="K55" s="17">
        <f>'Datos Actividad'!$Y51*'FE Sectorial'!$H54*'FE Sectorial'!L54/1000/1000</f>
        <v>0</v>
      </c>
      <c r="L55" s="17">
        <f>'Datos Actividad'!$Y51*'FE Sectorial'!$H54*'FE Sectorial'!M54/1000/1000</f>
        <v>0</v>
      </c>
      <c r="M55" s="17">
        <f>'Datos Actividad'!$Y51*'FE Sectorial'!$H54*'FE Sectorial'!N54/1000/1000</f>
        <v>0</v>
      </c>
      <c r="N55" s="17">
        <f>'Datos Actividad'!$Y51*'FE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486.62306119979957</v>
      </c>
      <c r="J56" s="134">
        <f t="shared" ref="J56:O56" si="14">SUM(J57:J62)</f>
        <v>64.883074826639955</v>
      </c>
      <c r="K56" s="134">
        <f t="shared" si="14"/>
        <v>1622.0768706659985</v>
      </c>
      <c r="L56" s="134">
        <f t="shared" si="14"/>
        <v>60589.642826639945</v>
      </c>
      <c r="M56" s="134">
        <f t="shared" si="14"/>
        <v>811.03843533299926</v>
      </c>
      <c r="N56" s="134">
        <f t="shared" si="14"/>
        <v>550.44000000000005</v>
      </c>
      <c r="O56" s="134">
        <f t="shared" si="14"/>
        <v>30332.837481454175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Actividad'!$Y53*'FE Sectorial'!$H56*'FE Sectorial'!I56*'FE Sectorial'!P56/1000</f>
        <v>0</v>
      </c>
      <c r="I57" s="17">
        <f>'Datos Actividad'!$Y53*'FE Sectorial'!$H56*'FE Sectorial'!J56/1000/1000</f>
        <v>0</v>
      </c>
      <c r="J57" s="17">
        <f>'Datos Actividad'!$Y53*'FE Sectorial'!$H56*'FE Sectorial'!K56/1000/1000</f>
        <v>0</v>
      </c>
      <c r="K57" s="17">
        <f>'Datos Actividad'!$Y53*'FE Sectorial'!$H56*'FE Sectorial'!L56/1000/1000</f>
        <v>0</v>
      </c>
      <c r="L57" s="17">
        <f>'Datos Actividad'!$Y53*'FE Sectorial'!$H56*'FE Sectorial'!M56/1000/1000</f>
        <v>0</v>
      </c>
      <c r="M57" s="17">
        <f>'Datos Actividad'!$Y53*'FE Sectorial'!$H56*'FE Sectorial'!N56/1000/1000</f>
        <v>0</v>
      </c>
      <c r="N57" s="17">
        <f>'Datos Actividad'!$Y53*'FE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Actividad'!$Y54*'FE Sectorial'!$H57*'FE Sectorial'!I57*'FE Sectorial'!P57/1000</f>
        <v>0</v>
      </c>
      <c r="I58" s="17">
        <f>'Datos Actividad'!$Y54*'FE Sectorial'!$H57*'FE Sectorial'!J57/1000/1000</f>
        <v>0</v>
      </c>
      <c r="J58" s="17">
        <f>'Datos Actividad'!$Y54*'FE Sectorial'!$H57*'FE Sectorial'!K57/1000/1000</f>
        <v>0</v>
      </c>
      <c r="K58" s="17">
        <f>'Datos Actividad'!$Y54*'FE Sectorial'!$H57*'FE Sectorial'!L57/1000/1000</f>
        <v>0</v>
      </c>
      <c r="L58" s="17">
        <f>'Datos Actividad'!$Y54*'FE Sectorial'!$H57*'FE Sectorial'!M57/1000/1000</f>
        <v>0</v>
      </c>
      <c r="M58" s="17">
        <f>'Datos Actividad'!$Y54*'FE Sectorial'!$H57*'FE Sectorial'!N57/1000/1000</f>
        <v>0</v>
      </c>
      <c r="N58" s="17">
        <f>'Datos Actividad'!$Y54*'FE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Actividad'!$Y55*'FE Sectorial'!$H58*'FE Sectorial'!I58*'FE Sectorial'!P58/1000</f>
        <v>0</v>
      </c>
      <c r="I59" s="17">
        <f>'Datos Actividad'!$Y55*'FE Sectorial'!$H58*'FE Sectorial'!J58/1000/1000</f>
        <v>0</v>
      </c>
      <c r="J59" s="17">
        <f>'Datos Actividad'!$Y55*'FE Sectorial'!$H58*'FE Sectorial'!K58/1000/1000</f>
        <v>0</v>
      </c>
      <c r="K59" s="17">
        <f>'Datos Actividad'!$Y55*'FE Sectorial'!$H58*'FE Sectorial'!L58/1000/1000</f>
        <v>0</v>
      </c>
      <c r="L59" s="17">
        <f>'Datos Actividad'!$Y55*'FE Sectorial'!$H58*'FE Sectorial'!M58/1000/1000</f>
        <v>0</v>
      </c>
      <c r="M59" s="17">
        <f>'Datos Actividad'!$Y55*'FE Sectorial'!$H58*'FE Sectorial'!N58/1000/1000</f>
        <v>0</v>
      </c>
      <c r="N59" s="17">
        <f>'Datos Actividad'!$Y55*'FE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Actividad'!$Y56*'FE Sectorial'!$H59*'FE Sectorial'!I59*'FE Sectorial'!P59/1000</f>
        <v>459186</v>
      </c>
      <c r="I60" s="17">
        <f>'Datos Actividad'!$Y56*'FE Sectorial'!$H59*'FE Sectorial'!J59/1000/1000</f>
        <v>158.34</v>
      </c>
      <c r="J60" s="17">
        <f>'Datos Actividad'!$Y56*'FE Sectorial'!$H59*'FE Sectorial'!K59/1000/1000</f>
        <v>21.111999999999998</v>
      </c>
      <c r="K60" s="17">
        <f>'Datos Actividad'!$Y56*'FE Sectorial'!$H59*'FE Sectorial'!L59/1000/1000</f>
        <v>527.79999999999995</v>
      </c>
      <c r="L60" s="17">
        <f>'Datos Actividad'!$Y56*'FE Sectorial'!$H59*'FE Sectorial'!M59/1000/1000</f>
        <v>21112</v>
      </c>
      <c r="M60" s="17">
        <f>'Datos Actividad'!$Y56*'FE Sectorial'!$H59*'FE Sectorial'!N59/1000/1000</f>
        <v>263.89999999999998</v>
      </c>
      <c r="N60" s="17">
        <f>'Datos Actividad'!$Y56*'FE Sectorial'!$H59*'FE Sectorial'!O59/1000/1000</f>
        <v>0</v>
      </c>
      <c r="O60" s="87">
        <f>IF(D60&lt;400,H60+I60*'Factores generales'!$M$41+J60*'Factores generales'!$N$41,I60*'Factores generales'!$M$41+J60*'Factores generales'!$N$41)</f>
        <v>9869.8599999999988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Actividad'!$Y57*'FE Sectorial'!$H60*'FE Sectorial'!I60*'FE Sectorial'!P60/1000</f>
        <v>209176.00704</v>
      </c>
      <c r="I61" s="17">
        <f>'Datos Actividad'!$Y57*'FE Sectorial'!$H60*'FE Sectorial'!J60/1000/1000</f>
        <v>64.401480000000006</v>
      </c>
      <c r="J61" s="17">
        <f>'Datos Actividad'!$Y57*'FE Sectorial'!$H60*'FE Sectorial'!K60/1000/1000</f>
        <v>8.5868640000000003</v>
      </c>
      <c r="K61" s="17">
        <f>'Datos Actividad'!$Y57*'FE Sectorial'!$H60*'FE Sectorial'!L60/1000/1000</f>
        <v>214.67160000000001</v>
      </c>
      <c r="L61" s="17">
        <f>'Datos Actividad'!$Y57*'FE Sectorial'!$H60*'FE Sectorial'!M60/1000/1000</f>
        <v>4293.4319999999998</v>
      </c>
      <c r="M61" s="17">
        <f>'Datos Actividad'!$Y57*'FE Sectorial'!$H60*'FE Sectorial'!N60/1000/1000</f>
        <v>107.33580000000001</v>
      </c>
      <c r="N61" s="17">
        <f>'Datos Actividad'!$Y57*'FE Sectorial'!$H60*'FE Sectorial'!O60/1000/1000</f>
        <v>550.44000000000005</v>
      </c>
      <c r="O61" s="87">
        <f>IF(D61&lt;400,H61+I61*'Factores generales'!$M$41+J61*'Factores generales'!$N$41,I61*'Factores generales'!$M$41+J61*'Factores generales'!$N$41)</f>
        <v>4014.3589200000006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Actividad'!$Y58*'FE Sectorial'!$H61*'FE Sectorial'!I61*'FE Sectorial'!P61/1000</f>
        <v>765256.58547941875</v>
      </c>
      <c r="I62" s="17">
        <f>'Datos Actividad'!$Y58*'FE Sectorial'!$H61*'FE Sectorial'!J61/1000/1000</f>
        <v>263.88158119979954</v>
      </c>
      <c r="J62" s="17">
        <f>'Datos Actividad'!$Y58*'FE Sectorial'!$H61*'FE Sectorial'!K61/1000/1000</f>
        <v>35.184210826639948</v>
      </c>
      <c r="K62" s="17">
        <f>'Datos Actividad'!$Y58*'FE Sectorial'!$H61*'FE Sectorial'!L61/1000/1000</f>
        <v>879.60527066599855</v>
      </c>
      <c r="L62" s="17">
        <f>'Datos Actividad'!$Y58*'FE Sectorial'!$H61*'FE Sectorial'!M61/1000/1000</f>
        <v>35184.210826639945</v>
      </c>
      <c r="M62" s="17">
        <f>'Datos Actividad'!$Y58*'FE Sectorial'!$H61*'FE Sectorial'!N61/1000/1000</f>
        <v>439.80263533299927</v>
      </c>
      <c r="N62" s="17">
        <f>'Datos Actividad'!$Y58*'FE Sectorial'!$H61*'FE Sectorial'!O61/1000/1000</f>
        <v>0</v>
      </c>
      <c r="O62" s="87">
        <f>IF(D62&lt;400,H62+I62*'Factores generales'!$M$41+J62*'Factores generales'!$N$41,I62*'Factores generales'!$M$41+J62*'Factores generales'!$N$41)</f>
        <v>16448.618561454176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1144.4718457432659</v>
      </c>
      <c r="J63" s="134">
        <f t="shared" ref="J63:O63" si="15">SUM(J64:J69)</f>
        <v>152.59624609910213</v>
      </c>
      <c r="K63" s="134">
        <f t="shared" si="15"/>
        <v>3814.9061524775534</v>
      </c>
      <c r="L63" s="134">
        <f t="shared" si="15"/>
        <v>152552.87809910212</v>
      </c>
      <c r="M63" s="134">
        <f t="shared" si="15"/>
        <v>1907.4530762387767</v>
      </c>
      <c r="N63" s="134">
        <f t="shared" si="15"/>
        <v>5.56</v>
      </c>
      <c r="O63" s="134">
        <f t="shared" si="15"/>
        <v>71338.745051330232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Actividad'!$Y60*'FE Sectorial'!$H63*'FE Sectorial'!I63*'FE Sectorial'!P63/1000</f>
        <v>0</v>
      </c>
      <c r="I64" s="17">
        <f>'Datos Actividad'!$Y60*'FE Sectorial'!$H63*'FE Sectorial'!J63/1000/1000</f>
        <v>0</v>
      </c>
      <c r="J64" s="17">
        <f>'Datos Actividad'!$Y60*'FE Sectorial'!$H63*'FE Sectorial'!K63/1000/1000</f>
        <v>0</v>
      </c>
      <c r="K64" s="17">
        <f>'Datos Actividad'!$Y60*'FE Sectorial'!$H63*'FE Sectorial'!L63/1000/1000</f>
        <v>0</v>
      </c>
      <c r="L64" s="17">
        <f>'Datos Actividad'!$Y60*'FE Sectorial'!$H63*'FE Sectorial'!M63/1000/1000</f>
        <v>0</v>
      </c>
      <c r="M64" s="17">
        <f>'Datos Actividad'!$Y60*'FE Sectorial'!$H63*'FE Sectorial'!N63/1000/1000</f>
        <v>0</v>
      </c>
      <c r="N64" s="17">
        <f>'Datos Actividad'!$Y60*'FE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Actividad'!$Y61*'FE Sectorial'!$H64*'FE Sectorial'!I64*'FE Sectorial'!P64/1000</f>
        <v>0</v>
      </c>
      <c r="I65" s="17">
        <f>'Datos Actividad'!$Y61*'FE Sectorial'!$H64*'FE Sectorial'!J64/1000/1000</f>
        <v>0</v>
      </c>
      <c r="J65" s="17">
        <f>'Datos Actividad'!$Y61*'FE Sectorial'!$H64*'FE Sectorial'!K64/1000/1000</f>
        <v>0</v>
      </c>
      <c r="K65" s="17">
        <f>'Datos Actividad'!$Y61*'FE Sectorial'!$H64*'FE Sectorial'!L64/1000/1000</f>
        <v>0</v>
      </c>
      <c r="L65" s="17">
        <f>'Datos Actividad'!$Y61*'FE Sectorial'!$H64*'FE Sectorial'!M64/1000/1000</f>
        <v>0</v>
      </c>
      <c r="M65" s="17">
        <f>'Datos Actividad'!$Y61*'FE Sectorial'!$H64*'FE Sectorial'!N64/1000/1000</f>
        <v>0</v>
      </c>
      <c r="N65" s="17">
        <f>'Datos Actividad'!$Y61*'FE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Actividad'!$Y62*'FE Sectorial'!$H65*'FE Sectorial'!I65*'FE Sectorial'!P65/1000</f>
        <v>0</v>
      </c>
      <c r="I66" s="17">
        <f>'Datos Actividad'!$Y62*'FE Sectorial'!$H65*'FE Sectorial'!J65/1000/1000</f>
        <v>0</v>
      </c>
      <c r="J66" s="17">
        <f>'Datos Actividad'!$Y62*'FE Sectorial'!$H65*'FE Sectorial'!K65/1000/1000</f>
        <v>0</v>
      </c>
      <c r="K66" s="17">
        <f>'Datos Actividad'!$Y62*'FE Sectorial'!$H65*'FE Sectorial'!L65/1000/1000</f>
        <v>0</v>
      </c>
      <c r="L66" s="17">
        <f>'Datos Actividad'!$Y62*'FE Sectorial'!$H65*'FE Sectorial'!M65/1000/1000</f>
        <v>0</v>
      </c>
      <c r="M66" s="17">
        <f>'Datos Actividad'!$Y62*'FE Sectorial'!$H65*'FE Sectorial'!N65/1000/1000</f>
        <v>0</v>
      </c>
      <c r="N66" s="17">
        <f>'Datos Actividad'!$Y62*'FE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Actividad'!$Y63*'FE Sectorial'!$H66*'FE Sectorial'!I66*'FE Sectorial'!P66/1000</f>
        <v>2602054.0000000005</v>
      </c>
      <c r="I67" s="17">
        <f>'Datos Actividad'!$Y63*'FE Sectorial'!$H66*'FE Sectorial'!J66/1000/1000</f>
        <v>897.26</v>
      </c>
      <c r="J67" s="17">
        <f>'Datos Actividad'!$Y63*'FE Sectorial'!$H66*'FE Sectorial'!K66/1000/1000</f>
        <v>119.63466666666667</v>
      </c>
      <c r="K67" s="17">
        <f>'Datos Actividad'!$Y63*'FE Sectorial'!$H66*'FE Sectorial'!L66/1000/1000</f>
        <v>2990.8666666666668</v>
      </c>
      <c r="L67" s="17">
        <f>'Datos Actividad'!$Y63*'FE Sectorial'!$H66*'FE Sectorial'!M66/1000/1000</f>
        <v>119634.66666666667</v>
      </c>
      <c r="M67" s="17">
        <f>'Datos Actividad'!$Y63*'FE Sectorial'!$H66*'FE Sectorial'!N66/1000/1000</f>
        <v>1495.4333333333334</v>
      </c>
      <c r="N67" s="17">
        <f>'Datos Actividad'!$Y63*'FE Sectorial'!$H66*'FE Sectorial'!O66/1000/1000</f>
        <v>0</v>
      </c>
      <c r="O67" s="87">
        <f>IF(D67&lt;400,H67+I67*'Factores generales'!$M$41+J67*'Factores generales'!$N$41,I67*'Factores generales'!$M$41+J67*'Factores generales'!$N$41)</f>
        <v>55929.206666666665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Actividad'!$Y64*'FE Sectorial'!$H67*'FE Sectorial'!I67*'FE Sectorial'!P67/1000</f>
        <v>2112.8889599999998</v>
      </c>
      <c r="I68" s="17">
        <f>'Datos Actividad'!$Y64*'FE Sectorial'!$H67*'FE Sectorial'!J67/1000/1000</f>
        <v>0.65051999999999999</v>
      </c>
      <c r="J68" s="17">
        <f>'Datos Actividad'!$Y64*'FE Sectorial'!$H67*'FE Sectorial'!K67/1000/1000</f>
        <v>8.6736000000000008E-2</v>
      </c>
      <c r="K68" s="17">
        <f>'Datos Actividad'!$Y64*'FE Sectorial'!$H67*'FE Sectorial'!L67/1000/1000</f>
        <v>2.1684000000000001</v>
      </c>
      <c r="L68" s="17">
        <f>'Datos Actividad'!$Y64*'FE Sectorial'!$H67*'FE Sectorial'!M67/1000/1000</f>
        <v>43.368000000000002</v>
      </c>
      <c r="M68" s="17">
        <f>'Datos Actividad'!$Y64*'FE Sectorial'!$H67*'FE Sectorial'!N67/1000/1000</f>
        <v>1.0842000000000001</v>
      </c>
      <c r="N68" s="17">
        <f>'Datos Actividad'!$Y64*'FE Sectorial'!$H67*'FE Sectorial'!O67/1000/1000</f>
        <v>5.56</v>
      </c>
      <c r="O68" s="87">
        <f>IF(D68&lt;400,H68+I68*'Factores generales'!$M$41+J68*'Factores generales'!$N$41,I68*'Factores generales'!$M$41+J68*'Factores generales'!$N$41)</f>
        <v>40.549080000000004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Actividad'!$Y65*'FE Sectorial'!$H68*'FE Sectorial'!I68*'FE Sectorial'!P68/1000</f>
        <v>715027.84465547116</v>
      </c>
      <c r="I69" s="17">
        <f>'Datos Actividad'!$Y65*'FE Sectorial'!$H68*'FE Sectorial'!J68/1000/1000</f>
        <v>246.56132574326588</v>
      </c>
      <c r="J69" s="17">
        <f>'Datos Actividad'!$Y65*'FE Sectorial'!$H68*'FE Sectorial'!K68/1000/1000</f>
        <v>32.874843432435455</v>
      </c>
      <c r="K69" s="17">
        <f>'Datos Actividad'!$Y65*'FE Sectorial'!$H68*'FE Sectorial'!L68/1000/1000</f>
        <v>821.87108581088637</v>
      </c>
      <c r="L69" s="17">
        <f>'Datos Actividad'!$Y65*'FE Sectorial'!$H68*'FE Sectorial'!M68/1000/1000</f>
        <v>32874.843432435453</v>
      </c>
      <c r="M69" s="17">
        <f>'Datos Actividad'!$Y65*'FE Sectorial'!$H68*'FE Sectorial'!N68/1000/1000</f>
        <v>410.93554290544319</v>
      </c>
      <c r="N69" s="17">
        <f>'Datos Actividad'!$Y65*'FE Sectorial'!$H68*'FE Sectorial'!O68/1000/1000</f>
        <v>0</v>
      </c>
      <c r="O69" s="87">
        <f>IF(D69&lt;400,H69+I69*'Factores generales'!$M$41+J69*'Factores generales'!$N$41,I69*'Factores generales'!$M$41+J69*'Factores generales'!$N$41)</f>
        <v>15368.989304663575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14369178.696554391</v>
      </c>
      <c r="I70" s="134">
        <f t="shared" si="16"/>
        <v>545.22850628264121</v>
      </c>
      <c r="J70" s="134">
        <f t="shared" si="16"/>
        <v>79.621710918209303</v>
      </c>
      <c r="K70" s="134">
        <f t="shared" si="16"/>
        <v>39366.204214107696</v>
      </c>
      <c r="L70" s="134">
        <f t="shared" si="16"/>
        <v>37101.279505302024</v>
      </c>
      <c r="M70" s="134">
        <f t="shared" si="16"/>
        <v>1640.0118580053781</v>
      </c>
      <c r="N70" s="134">
        <f t="shared" si="16"/>
        <v>8461.1526544488952</v>
      </c>
      <c r="O70" s="134">
        <f t="shared" si="16"/>
        <v>14405311.225570971</v>
      </c>
    </row>
    <row r="71" spans="1:15" outlineLevel="1" x14ac:dyDescent="0.25">
      <c r="B71" s="1" t="s">
        <v>36</v>
      </c>
      <c r="G71" s="1"/>
      <c r="H71" s="15">
        <f>H72+H73+H74+H76</f>
        <v>387383.50193619891</v>
      </c>
      <c r="I71" s="15">
        <f>SUM(I72:I76)</f>
        <v>4.112987629971057</v>
      </c>
      <c r="J71" s="15">
        <f t="shared" ref="J71:O71" si="17">SUM(J72:J76)</f>
        <v>6.1694814449565873</v>
      </c>
      <c r="K71" s="15">
        <f t="shared" si="17"/>
        <v>1233.8962889913173</v>
      </c>
      <c r="L71" s="15">
        <f t="shared" si="17"/>
        <v>616.94814449565865</v>
      </c>
      <c r="M71" s="15">
        <f t="shared" si="17"/>
        <v>82.259752599421148</v>
      </c>
      <c r="N71" s="15">
        <f t="shared" si="17"/>
        <v>1890.6315682281061</v>
      </c>
      <c r="O71" s="15">
        <f t="shared" si="17"/>
        <v>389382.41392436484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Actividad'!$Y68*'FE Sectorial'!$H71*'FE Sectorial'!I71*'FE Sectorial'!P71/1000</f>
        <v>0</v>
      </c>
      <c r="I72" s="17">
        <f>'Datos Actividad'!$Y68*'FE Sectorial'!$H71*'FE Sectorial'!J71/1000/1000</f>
        <v>0</v>
      </c>
      <c r="J72" s="17">
        <f>'Datos Actividad'!$Y68*'FE Sectorial'!$H71*'FE Sectorial'!K71/1000/1000</f>
        <v>0</v>
      </c>
      <c r="K72" s="17">
        <f>'Datos Actividad'!$Y68*'FE Sectorial'!$H71*'FE Sectorial'!L71/1000/1000</f>
        <v>0</v>
      </c>
      <c r="L72" s="17">
        <f>'Datos Actividad'!$Y68*'FE Sectorial'!$H71*'FE Sectorial'!M71/1000/1000</f>
        <v>0</v>
      </c>
      <c r="M72" s="17">
        <f>'Datos Actividad'!$Y68*'FE Sectorial'!$H71*'FE Sectorial'!N71/1000/1000</f>
        <v>0</v>
      </c>
      <c r="N72" s="17">
        <f>'Datos Actividad'!$Y68*'FE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Actividad'!$Y69*'FE Sectorial'!$H72*'FE Sectorial'!I72*'FE Sectorial'!P72/1000</f>
        <v>0</v>
      </c>
      <c r="I73" s="17">
        <f>'Datos Actividad'!$Y69*'FE Sectorial'!$H72*'FE Sectorial'!J72/1000/1000</f>
        <v>0</v>
      </c>
      <c r="J73" s="17">
        <f>'Datos Actividad'!$Y69*'FE Sectorial'!$H72*'FE Sectorial'!K72/1000/1000</f>
        <v>0</v>
      </c>
      <c r="K73" s="17">
        <f>'Datos Actividad'!$Y69*'FE Sectorial'!$H72*'FE Sectorial'!L72/1000/1000</f>
        <v>0</v>
      </c>
      <c r="L73" s="17">
        <f>'Datos Actividad'!$Y69*'FE Sectorial'!$H72*'FE Sectorial'!M72/1000/1000</f>
        <v>0</v>
      </c>
      <c r="M73" s="17">
        <f>'Datos Actividad'!$Y69*'FE Sectorial'!$H72*'FE Sectorial'!N72/1000/1000</f>
        <v>0</v>
      </c>
      <c r="N73" s="17">
        <f>'Datos Actividad'!$Y69*'FE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Actividad'!$Y70*'FE Sectorial'!$H73*'FE Sectorial'!I73*'FE Sectorial'!P73/1000</f>
        <v>204300.98684210522</v>
      </c>
      <c r="I74" s="17">
        <f>'Datos Actividad'!$Y70*'FE Sectorial'!$H73*'FE Sectorial'!J73/1000/1000</f>
        <v>2.1381578947368416</v>
      </c>
      <c r="J74" s="17">
        <f>'Datos Actividad'!$Y70*'FE Sectorial'!$H73*'FE Sectorial'!K73/1000/1000</f>
        <v>3.2072368421052633</v>
      </c>
      <c r="K74" s="17">
        <f>'Datos Actividad'!$Y70*'FE Sectorial'!$H73*'FE Sectorial'!L73/1000/1000</f>
        <v>641.4473684210526</v>
      </c>
      <c r="L74" s="17">
        <f>'Datos Actividad'!$Y70*'FE Sectorial'!$H73*'FE Sectorial'!M73/1000/1000</f>
        <v>320.7236842105263</v>
      </c>
      <c r="M74" s="17">
        <f>'Datos Actividad'!$Y70*'FE Sectorial'!$H73*'FE Sectorial'!N73/1000/1000</f>
        <v>42.763157894736835</v>
      </c>
      <c r="N74" s="17">
        <f>'Datos Actividad'!$Y70*'FE Sectorial'!$H73*'FE Sectorial'!O73/1000/1000</f>
        <v>0</v>
      </c>
      <c r="O74" s="87">
        <f>IF(D74&lt;400,H74+I74*'Factores generales'!$M$41+J74*'Factores generales'!$N$41,I74*'Factores generales'!$M$41+J74*'Factores generales'!$N$41)</f>
        <v>205340.13157894733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Actividad'!$Y71*'FE Sectorial'!$H74*'FE Sectorial'!I74*'FE Sectorial'!P74/1000</f>
        <v>0</v>
      </c>
      <c r="I75" s="17">
        <f>'Datos Actividad'!$Y71*'FE Sectorial'!$H74*'FE Sectorial'!J74/1000/1000</f>
        <v>0</v>
      </c>
      <c r="J75" s="17">
        <f>'Datos Actividad'!$Y71*'FE Sectorial'!$H74*'FE Sectorial'!K74/1000/1000</f>
        <v>0</v>
      </c>
      <c r="K75" s="17">
        <f>'Datos Actividad'!$Y71*'FE Sectorial'!$H74*'FE Sectorial'!L74/1000/1000</f>
        <v>0</v>
      </c>
      <c r="L75" s="17">
        <f>'Datos Actividad'!$Y71*'FE Sectorial'!$H74*'FE Sectorial'!M74/1000/1000</f>
        <v>0</v>
      </c>
      <c r="M75" s="17">
        <f>'Datos Actividad'!$Y71*'FE Sectorial'!$H74*'FE Sectorial'!N74/1000/1000</f>
        <v>0</v>
      </c>
      <c r="N75" s="17">
        <f>'Datos Actividad'!$Y71*'FE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Actividad'!$Y72*'FE Sectorial'!$H75*'FE Sectorial'!I75*'FE Sectorial'!P75/1000</f>
        <v>183082.51509409366</v>
      </c>
      <c r="I76" s="17">
        <f>'Datos Actividad'!$Y72*'FE Sectorial'!$H75*'FE Sectorial'!J75/1000/1000</f>
        <v>1.9748297352342159</v>
      </c>
      <c r="J76" s="17">
        <f>'Datos Actividad'!$Y72*'FE Sectorial'!$H75*'FE Sectorial'!K75/1000/1000</f>
        <v>2.9622446028513241</v>
      </c>
      <c r="K76" s="17">
        <f>'Datos Actividad'!$Y72*'FE Sectorial'!$H75*'FE Sectorial'!L75/1000/1000</f>
        <v>592.44892057026482</v>
      </c>
      <c r="L76" s="17">
        <f>'Datos Actividad'!$Y72*'FE Sectorial'!$H75*'FE Sectorial'!M75/1000/1000</f>
        <v>296.22446028513241</v>
      </c>
      <c r="M76" s="17">
        <f>'Datos Actividad'!$Y72*'FE Sectorial'!$H75*'FE Sectorial'!N75/1000/1000</f>
        <v>39.496594704684313</v>
      </c>
      <c r="N76" s="17">
        <f>'Datos Actividad'!$Y72*'FE Sectorial'!$H75*'FE Sectorial'!O75/1000/1000</f>
        <v>1890.6315682281061</v>
      </c>
      <c r="O76" s="87">
        <f>IF(D76&lt;400,H76+I76*'Factores generales'!$M$41+J76*'Factores generales'!$N$41,I76*'Factores generales'!$M$41+J76*'Factores generales'!$N$41)</f>
        <v>184042.28234541748</v>
      </c>
    </row>
    <row r="77" spans="1:15" outlineLevel="1" x14ac:dyDescent="0.25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Actividad'!$Y74*'FE Sectorial'!$H77*'FE Sectorial'!I77*'FE Sectorial'!P77/1000</f>
        <v>0</v>
      </c>
      <c r="I78" s="17">
        <f>'Datos Actividad'!$Y74*'FE Sectorial'!$H77*'FE Sectorial'!J77/1000/1000</f>
        <v>0</v>
      </c>
      <c r="J78" s="17">
        <f>'Datos Actividad'!$Y74*'FE Sectorial'!$H77*'FE Sectorial'!K77/1000/1000</f>
        <v>0</v>
      </c>
      <c r="K78" s="17">
        <f>'Datos Actividad'!$Y74*'FE Sectorial'!$H77*'FE Sectorial'!L77/1000/1000</f>
        <v>0</v>
      </c>
      <c r="L78" s="17">
        <f>'Datos Actividad'!$Y74*'FE Sectorial'!$H77*'FE Sectorial'!M77/1000/1000</f>
        <v>0</v>
      </c>
      <c r="M78" s="17">
        <f>'Datos Actividad'!$Y74*'FE Sectorial'!$H77*'FE Sectorial'!N77/1000/1000</f>
        <v>0</v>
      </c>
      <c r="N78" s="17">
        <f>'Datos Actividad'!$Y74*'FE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Actividad'!$Y75*'FE Sectorial'!$H78*'FE Sectorial'!I78*'FE Sectorial'!P78/1000</f>
        <v>0</v>
      </c>
      <c r="I79" s="17">
        <f>'Datos Actividad'!$Y75*'FE Sectorial'!$H78*'FE Sectorial'!J78/1000/1000</f>
        <v>0</v>
      </c>
      <c r="J79" s="17">
        <f>'Datos Actividad'!$Y75*'FE Sectorial'!$H78*'FE Sectorial'!K78/1000/1000</f>
        <v>0</v>
      </c>
      <c r="K79" s="17">
        <f>'Datos Actividad'!$Y75*'FE Sectorial'!$H78*'FE Sectorial'!L78/1000/1000</f>
        <v>0</v>
      </c>
      <c r="L79" s="17">
        <f>'Datos Actividad'!$Y75*'FE Sectorial'!$H78*'FE Sectorial'!M78/1000/1000</f>
        <v>0</v>
      </c>
      <c r="M79" s="17">
        <f>'Datos Actividad'!$Y75*'FE Sectorial'!$H78*'FE Sectorial'!N78/1000/1000</f>
        <v>0</v>
      </c>
      <c r="N79" s="17">
        <f>'Datos Actividad'!$Y75*'FE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0</v>
      </c>
      <c r="I80" s="15">
        <f>SUM(I81:I85)</f>
        <v>225.77091666734967</v>
      </c>
      <c r="J80" s="15">
        <f t="shared" ref="J80:O80" si="19">SUM(J81:J85)</f>
        <v>30.102788888979958</v>
      </c>
      <c r="K80" s="15">
        <f t="shared" si="19"/>
        <v>752.56972222449883</v>
      </c>
      <c r="L80" s="15">
        <f t="shared" si="19"/>
        <v>30102.788888979958</v>
      </c>
      <c r="M80" s="15">
        <f t="shared" si="19"/>
        <v>376.28486111224942</v>
      </c>
      <c r="N80" s="15">
        <f t="shared" si="19"/>
        <v>0</v>
      </c>
      <c r="O80" s="15">
        <f t="shared" si="19"/>
        <v>14073.053805598131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Actividad'!$Y77*'FE Sectorial'!$H80*'FE Sectorial'!I80*'FE Sectorial'!P80/1000</f>
        <v>0</v>
      </c>
      <c r="I81" s="17">
        <f>'Datos Actividad'!$Y77*'FE Sectorial'!$H80*'FE Sectorial'!J80/1000/1000</f>
        <v>0</v>
      </c>
      <c r="J81" s="17">
        <f>'Datos Actividad'!$Y77*'FE Sectorial'!$H80*'FE Sectorial'!K80/1000/1000</f>
        <v>0</v>
      </c>
      <c r="K81" s="17">
        <f>'Datos Actividad'!$Y77*'FE Sectorial'!$H80*'FE Sectorial'!L80/1000/1000</f>
        <v>0</v>
      </c>
      <c r="L81" s="17">
        <f>'Datos Actividad'!$Y77*'FE Sectorial'!$H80*'FE Sectorial'!M80/1000/1000</f>
        <v>0</v>
      </c>
      <c r="M81" s="17">
        <f>'Datos Actividad'!$Y77*'FE Sectorial'!$H80*'FE Sectorial'!N80/1000/1000</f>
        <v>0</v>
      </c>
      <c r="N81" s="17">
        <f>'Datos Actividad'!$Y77*'FE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Actividad'!$Y78*'FE Sectorial'!$H81*'FE Sectorial'!I81*'FE Sectorial'!P81/1000</f>
        <v>0</v>
      </c>
      <c r="I82" s="17">
        <f>'Datos Actividad'!$Y78*'FE Sectorial'!$H81*'FE Sectorial'!J81/1000/1000</f>
        <v>0</v>
      </c>
      <c r="J82" s="17">
        <f>'Datos Actividad'!$Y78*'FE Sectorial'!$H81*'FE Sectorial'!K81/1000/1000</f>
        <v>0</v>
      </c>
      <c r="K82" s="17">
        <f>'Datos Actividad'!$Y78*'FE Sectorial'!$H81*'FE Sectorial'!L81/1000/1000</f>
        <v>0</v>
      </c>
      <c r="L82" s="17">
        <f>'Datos Actividad'!$Y78*'FE Sectorial'!$H81*'FE Sectorial'!M81/1000/1000</f>
        <v>0</v>
      </c>
      <c r="M82" s="17">
        <f>'Datos Actividad'!$Y78*'FE Sectorial'!$H81*'FE Sectorial'!N81/1000/1000</f>
        <v>0</v>
      </c>
      <c r="N82" s="17">
        <f>'Datos Actividad'!$Y78*'FE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Actividad'!$Y79*'FE Sectorial'!$H82*'FE Sectorial'!I82*'FE Sectorial'!P82/1000</f>
        <v>0</v>
      </c>
      <c r="I83" s="95">
        <f>'Datos Actividad'!$Y79*'FE Sectorial'!$H82*'FE Sectorial'!J82/1000/1000</f>
        <v>0</v>
      </c>
      <c r="J83" s="17">
        <f>'Datos Actividad'!$Y79*'FE Sectorial'!$H82*'FE Sectorial'!K82/1000/1000</f>
        <v>0</v>
      </c>
      <c r="K83" s="17">
        <f>'Datos Actividad'!$Y79*'FE Sectorial'!$H82*'FE Sectorial'!L82/1000/1000</f>
        <v>0</v>
      </c>
      <c r="L83" s="17">
        <f>'Datos Actividad'!$Y79*'FE Sectorial'!$H82*'FE Sectorial'!M82/1000/1000</f>
        <v>0</v>
      </c>
      <c r="M83" s="17">
        <f>'Datos Actividad'!$Y79*'FE Sectorial'!$H82*'FE Sectorial'!N82/1000/1000</f>
        <v>0</v>
      </c>
      <c r="N83" s="17">
        <f>'Datos Actividad'!$Y79*'FE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Actividad'!$Y80*'FE Sectorial'!$H83*'FE Sectorial'!I83*'FE Sectorial'!P83/1000</f>
        <v>0</v>
      </c>
      <c r="I84" s="95">
        <f>'Datos Actividad'!$Y80*'FE Sectorial'!$H83*'FE Sectorial'!J83/1000/1000</f>
        <v>0</v>
      </c>
      <c r="J84" s="17">
        <f>'Datos Actividad'!$Y80*'FE Sectorial'!$H83*'FE Sectorial'!K83/1000/1000</f>
        <v>0</v>
      </c>
      <c r="K84" s="17">
        <f>'Datos Actividad'!$Y80*'FE Sectorial'!$H83*'FE Sectorial'!L83/1000/1000</f>
        <v>0</v>
      </c>
      <c r="L84" s="17">
        <f>'Datos Actividad'!$Y80*'FE Sectorial'!$H83*'FE Sectorial'!M83/1000/1000</f>
        <v>0</v>
      </c>
      <c r="M84" s="17">
        <f>'Datos Actividad'!$Y80*'FE Sectorial'!$H83*'FE Sectorial'!N83/1000/1000</f>
        <v>0</v>
      </c>
      <c r="N84" s="17">
        <f>'Datos Actividad'!$Y80*'FE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Actividad'!$Y81*'FE Sectorial'!$H84*'FE Sectorial'!I84*'FE Sectorial'!P84/1000</f>
        <v>654735.65833531402</v>
      </c>
      <c r="I85" s="95">
        <f>'Datos Actividad'!$Y81*'FE Sectorial'!$H84*'FE Sectorial'!J84/1000/1000</f>
        <v>225.77091666734967</v>
      </c>
      <c r="J85" s="17">
        <f>'Datos Actividad'!$Y81*'FE Sectorial'!$H84*'FE Sectorial'!K84/1000/1000</f>
        <v>30.102788888979958</v>
      </c>
      <c r="K85" s="17">
        <f>'Datos Actividad'!$Y81*'FE Sectorial'!$H84*'FE Sectorial'!L84/1000/1000</f>
        <v>752.56972222449883</v>
      </c>
      <c r="L85" s="17">
        <f>'Datos Actividad'!$Y81*'FE Sectorial'!$H84*'FE Sectorial'!M84/1000/1000</f>
        <v>30102.788888979958</v>
      </c>
      <c r="M85" s="17">
        <f>'Datos Actividad'!$Y81*'FE Sectorial'!$H84*'FE Sectorial'!N84/1000/1000</f>
        <v>376.28486111224942</v>
      </c>
      <c r="N85" s="17">
        <f>'Datos Actividad'!$Y81*'FE Sectorial'!$H84*'FE Sectorial'!O84/1000/1000</f>
        <v>0</v>
      </c>
      <c r="O85" s="87">
        <f>IF(D85&lt;400,H85+I85*'Factores generales'!$M$41+J85*'Factores generales'!$N$41,I85*'Factores generales'!$M$41+J85*'Factores generales'!$N$41)</f>
        <v>14073.053805598131</v>
      </c>
    </row>
    <row r="86" spans="2:15" outlineLevel="1" x14ac:dyDescent="0.25">
      <c r="B86" s="1" t="s">
        <v>38</v>
      </c>
      <c r="G86" s="1"/>
      <c r="H86" s="15">
        <f>H87+H88</f>
        <v>0</v>
      </c>
      <c r="I86" s="15">
        <f>I87+I88+I89</f>
        <v>0.64038874869195217</v>
      </c>
      <c r="J86" s="15">
        <f t="shared" ref="J86:O86" si="20">J87+J88+J89</f>
        <v>8.53851664922603E-2</v>
      </c>
      <c r="K86" s="15">
        <f t="shared" si="20"/>
        <v>2.1346291623065072</v>
      </c>
      <c r="L86" s="15">
        <f t="shared" si="20"/>
        <v>85.385166492260296</v>
      </c>
      <c r="M86" s="15">
        <f t="shared" si="20"/>
        <v>1.0673145811532536</v>
      </c>
      <c r="N86" s="15">
        <f t="shared" si="20"/>
        <v>0</v>
      </c>
      <c r="O86" s="15">
        <f t="shared" si="20"/>
        <v>39.917565335131684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Actividad'!$Y83*'FE Sectorial'!$H86*'FE Sectorial'!I86*'FE Sectorial'!P86/1000</f>
        <v>0</v>
      </c>
      <c r="I87" s="17">
        <f>'Datos Actividad'!$Y83*'FE Sectorial'!$H86*'FE Sectorial'!J86/1000/1000</f>
        <v>0</v>
      </c>
      <c r="J87" s="17">
        <f>'Datos Actividad'!$Y83*'FE Sectorial'!$H86*'FE Sectorial'!K86/1000/1000</f>
        <v>0</v>
      </c>
      <c r="K87" s="17">
        <f>'Datos Actividad'!$Y83*'FE Sectorial'!$H86*'FE Sectorial'!L86/1000/1000</f>
        <v>0</v>
      </c>
      <c r="L87" s="17">
        <f>'Datos Actividad'!$Y83*'FE Sectorial'!$H86*'FE Sectorial'!M86/1000/1000</f>
        <v>0</v>
      </c>
      <c r="M87" s="17">
        <f>'Datos Actividad'!$Y83*'FE Sectorial'!$H86*'FE Sectorial'!N86/1000/1000</f>
        <v>0</v>
      </c>
      <c r="N87" s="17">
        <f>'Datos Actividad'!$Y83*'FE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Actividad'!$Y84*'FE Sectorial'!$H87*'FE Sectorial'!I87*'FE Sectorial'!P87/1000</f>
        <v>0</v>
      </c>
      <c r="I88" s="17">
        <f>'Datos Actividad'!$Y84*'FE Sectorial'!$H87*'FE Sectorial'!J87/1000/1000</f>
        <v>0</v>
      </c>
      <c r="J88" s="17">
        <f>'Datos Actividad'!$Y84*'FE Sectorial'!$H87*'FE Sectorial'!K87/1000/1000</f>
        <v>0</v>
      </c>
      <c r="K88" s="17">
        <f>'Datos Actividad'!$Y84*'FE Sectorial'!$H87*'FE Sectorial'!L87/1000/1000</f>
        <v>0</v>
      </c>
      <c r="L88" s="17">
        <f>'Datos Actividad'!$Y84*'FE Sectorial'!$H87*'FE Sectorial'!M87/1000/1000</f>
        <v>0</v>
      </c>
      <c r="M88" s="17">
        <f>'Datos Actividad'!$Y84*'FE Sectorial'!$H87*'FE Sectorial'!N87/1000/1000</f>
        <v>0</v>
      </c>
      <c r="N88" s="17">
        <f>'Datos Actividad'!$Y84*'FE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Actividad'!$Y85*'FE Sectorial'!$H88*'FE Sectorial'!I88*'FE Sectorial'!P88/1000</f>
        <v>1857.1273712066611</v>
      </c>
      <c r="I89" s="95">
        <f>'Datos Actividad'!$Y85*'FE Sectorial'!$H88*'FE Sectorial'!J88/1000/1000</f>
        <v>0.64038874869195217</v>
      </c>
      <c r="J89" s="17">
        <f>'Datos Actividad'!$Y85*'FE Sectorial'!$H88*'FE Sectorial'!K88/1000/1000</f>
        <v>8.53851664922603E-2</v>
      </c>
      <c r="K89" s="17">
        <f>'Datos Actividad'!$Y85*'FE Sectorial'!$H88*'FE Sectorial'!L88/1000/1000</f>
        <v>2.1346291623065072</v>
      </c>
      <c r="L89" s="17">
        <f>'Datos Actividad'!$Y85*'FE Sectorial'!$H88*'FE Sectorial'!M88/1000/1000</f>
        <v>85.385166492260296</v>
      </c>
      <c r="M89" s="17">
        <f>'Datos Actividad'!$Y85*'FE Sectorial'!$H88*'FE Sectorial'!N88/1000/1000</f>
        <v>1.0673145811532536</v>
      </c>
      <c r="N89" s="17">
        <f>'Datos Actividad'!$Y85*'FE Sectorial'!$H88*'FE Sectorial'!O88/1000/1000</f>
        <v>0</v>
      </c>
      <c r="O89" s="87">
        <f>IF(D89&lt;400,H89+I89*'Factores generales'!$M$41+J89*'Factores generales'!$N$41,I89*'Factores generales'!$M$41+J89*'Factores generales'!$N$41)</f>
        <v>39.917565335131684</v>
      </c>
    </row>
    <row r="90" spans="2:15" outlineLevel="1" x14ac:dyDescent="0.25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Actividad'!$Y87*'FE Sectorial'!$H90*'FE Sectorial'!I90*'FE Sectorial'!P90/1000</f>
        <v>0</v>
      </c>
      <c r="I91" s="17">
        <f>'Datos Actividad'!$Y87*'FE Sectorial'!$H90*'FE Sectorial'!J90/1000/1000</f>
        <v>0</v>
      </c>
      <c r="J91" s="17">
        <f>'Datos Actividad'!$Y87*'FE Sectorial'!$H90*'FE Sectorial'!K90/1000/1000</f>
        <v>0</v>
      </c>
      <c r="K91" s="17">
        <f>'Datos Actividad'!$Y87*'FE Sectorial'!$H90*'FE Sectorial'!L90/1000/1000</f>
        <v>0</v>
      </c>
      <c r="L91" s="17">
        <f>'Datos Actividad'!$Y87*'FE Sectorial'!$H90*'FE Sectorial'!M90/1000/1000</f>
        <v>0</v>
      </c>
      <c r="M91" s="17">
        <f>'Datos Actividad'!$Y87*'FE Sectorial'!$H90*'FE Sectorial'!N90/1000/1000</f>
        <v>0</v>
      </c>
      <c r="N91" s="17">
        <f>'Datos Actividad'!$Y87*'FE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Actividad'!$Y88*'FE Sectorial'!$H91*'FE Sectorial'!I91*'FE Sectorial'!P91/1000</f>
        <v>0</v>
      </c>
      <c r="I92" s="17">
        <f>'Datos Actividad'!$Y88*'FE Sectorial'!$H91*'FE Sectorial'!J91/1000/1000</f>
        <v>0</v>
      </c>
      <c r="J92" s="17">
        <f>'Datos Actividad'!$Y88*'FE Sectorial'!$H91*'FE Sectorial'!K91/1000/1000</f>
        <v>0</v>
      </c>
      <c r="K92" s="17">
        <f>'Datos Actividad'!$Y88*'FE Sectorial'!$H91*'FE Sectorial'!L91/1000/1000</f>
        <v>0</v>
      </c>
      <c r="L92" s="17">
        <f>'Datos Actividad'!$Y88*'FE Sectorial'!$H91*'FE Sectorial'!M91/1000/1000</f>
        <v>0</v>
      </c>
      <c r="M92" s="17">
        <f>'Datos Actividad'!$Y88*'FE Sectorial'!$H91*'FE Sectorial'!N91/1000/1000</f>
        <v>0</v>
      </c>
      <c r="N92" s="17">
        <f>'Datos Actividad'!$Y88*'FE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Actividad'!$Y89*'FE Sectorial'!$H92*'FE Sectorial'!I92*'FE Sectorial'!P92/1000</f>
        <v>0</v>
      </c>
      <c r="I93" s="17">
        <f>'Datos Actividad'!$Y89*'FE Sectorial'!$H92*'FE Sectorial'!J92/1000/1000</f>
        <v>0</v>
      </c>
      <c r="J93" s="17">
        <f>'Datos Actividad'!$Y89*'FE Sectorial'!$H92*'FE Sectorial'!K92/1000/1000</f>
        <v>0</v>
      </c>
      <c r="K93" s="17">
        <f>'Datos Actividad'!$Y89*'FE Sectorial'!$H92*'FE Sectorial'!L92/1000/1000</f>
        <v>0</v>
      </c>
      <c r="L93" s="17">
        <f>'Datos Actividad'!$Y89*'FE Sectorial'!$H92*'FE Sectorial'!M92/1000/1000</f>
        <v>0</v>
      </c>
      <c r="M93" s="17">
        <f>'Datos Actividad'!$Y89*'FE Sectorial'!$H92*'FE Sectorial'!N92/1000/1000</f>
        <v>0</v>
      </c>
      <c r="N93" s="17">
        <f>'Datos Actividad'!$Y89*'FE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13981795.194618192</v>
      </c>
      <c r="I94" s="15">
        <f t="shared" ref="I94:O94" si="22">SUM(I95:I100)</f>
        <v>314.70421323662856</v>
      </c>
      <c r="J94" s="15">
        <f t="shared" si="22"/>
        <v>43.264055417780497</v>
      </c>
      <c r="K94" s="15">
        <f t="shared" si="22"/>
        <v>37377.603573729575</v>
      </c>
      <c r="L94" s="15">
        <f t="shared" si="22"/>
        <v>6296.1573053341508</v>
      </c>
      <c r="M94" s="15">
        <f t="shared" si="22"/>
        <v>1180.3999297125545</v>
      </c>
      <c r="N94" s="15">
        <f t="shared" si="22"/>
        <v>6570.5210862207896</v>
      </c>
      <c r="O94" s="15">
        <f t="shared" si="22"/>
        <v>14001815.840275673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Actividad'!$Y91*'FE Sectorial'!$H94*'FE Sectorial'!I94*'FE Sectorial'!P94/1000</f>
        <v>10894163.810615713</v>
      </c>
      <c r="I95" s="17">
        <f>'Datos Actividad'!$Y91*'FE Sectorial'!$H94*'FE Sectorial'!J94/1000/1000</f>
        <v>195.16770681600002</v>
      </c>
      <c r="J95" s="17">
        <f>'Datos Actividad'!$Y91*'FE Sectorial'!$H94*'FE Sectorial'!K94/1000/1000</f>
        <v>19.516770681600001</v>
      </c>
      <c r="K95" s="17">
        <f>'Datos Actividad'!$Y91*'FE Sectorial'!$H94*'FE Sectorial'!L94/1000/1000</f>
        <v>29275.156022400002</v>
      </c>
      <c r="L95" s="17">
        <f>'Datos Actividad'!$Y91*'FE Sectorial'!$H94*'FE Sectorial'!M94/1000/1000</f>
        <v>5855.0312044800012</v>
      </c>
      <c r="M95" s="17">
        <f>'Datos Actividad'!$Y91*'FE Sectorial'!$H94*'FE Sectorial'!N94/1000/1000</f>
        <v>975.83853408000004</v>
      </c>
      <c r="N95" s="17">
        <f>'Datos Actividad'!$Y91*'FE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10904312.531370144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Actividad'!$Y92*'FE Sectorial'!$H95*'FE Sectorial'!I95*'FE Sectorial'!P95/1000</f>
        <v>99960.737335890488</v>
      </c>
      <c r="I96" s="17">
        <f>'Datos Actividad'!$Y92*'FE Sectorial'!$H95*'FE Sectorial'!J95/1000/1000</f>
        <v>1.6001654794520559</v>
      </c>
      <c r="J96" s="17">
        <f>'Datos Actividad'!$Y92*'FE Sectorial'!$H95*'FE Sectorial'!K95/1000/1000</f>
        <v>0.16001654794520559</v>
      </c>
      <c r="K96" s="17">
        <f>'Datos Actividad'!$Y92*'FE Sectorial'!$H95*'FE Sectorial'!L95/1000/1000</f>
        <v>240.0248219178084</v>
      </c>
      <c r="L96" s="17">
        <f>'Datos Actividad'!$Y92*'FE Sectorial'!$H95*'FE Sectorial'!M95/1000/1000</f>
        <v>48.004964383561678</v>
      </c>
      <c r="M96" s="17">
        <f>'Datos Actividad'!$Y92*'FE Sectorial'!$H95*'FE Sectorial'!N95/1000/1000</f>
        <v>8.000827397260279</v>
      </c>
      <c r="N96" s="17">
        <f>'Datos Actividad'!$Y92*'FE Sectorial'!$H95*'FE Sectorial'!O95/1000/1000</f>
        <v>6.7660273972602791</v>
      </c>
      <c r="O96" s="87">
        <f>IF(D96&lt;400,H96+I96*'Factores generales'!$M$41+J96*'Factores generales'!$N$41,I96*'Factores generales'!$M$41+J96*'Factores generales'!$N$41)</f>
        <v>100043.945940822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Actividad'!$Y93*'FE Sectorial'!$H96*'FE Sectorial'!I96*'FE Sectorial'!P96/1000</f>
        <v>553715.0265705887</v>
      </c>
      <c r="I97" s="17">
        <f>'Datos Actividad'!$Y93*'FE Sectorial'!$H96*'FE Sectorial'!J96/1000/1000</f>
        <v>22.64405294117649</v>
      </c>
      <c r="J97" s="17">
        <f>'Datos Actividad'!$Y93*'FE Sectorial'!$H96*'FE Sectorial'!K96/1000/1000</f>
        <v>4.5288105882352987</v>
      </c>
      <c r="K97" s="17">
        <f>'Datos Actividad'!$Y93*'FE Sectorial'!$H96*'FE Sectorial'!L96/1000/1000</f>
        <v>1509.603529411766</v>
      </c>
      <c r="L97" s="17">
        <f>'Datos Actividad'!$Y93*'FE Sectorial'!$H96*'FE Sectorial'!M96/1000/1000</f>
        <v>75.480176470588304</v>
      </c>
      <c r="M97" s="17">
        <f>'Datos Actividad'!$Y93*'FE Sectorial'!$H96*'FE Sectorial'!N96/1000/1000</f>
        <v>37.740088235294152</v>
      </c>
      <c r="N97" s="17">
        <f>'Datos Actividad'!$Y93*'FE Sectorial'!$H96*'FE Sectorial'!O96/1000/1000</f>
        <v>273.83505882352966</v>
      </c>
      <c r="O97" s="87">
        <f>IF(D97&lt;400,H97+I97*'Factores generales'!$M$41+J97*'Factores generales'!$N$41,I97*'Factores generales'!$M$41+J97*'Factores generales'!$N$41)</f>
        <v>555594.48296470626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Actividad'!$Y94*'FE Sectorial'!$H97*'FE Sectorial'!I97*'FE Sectorial'!P97/1000</f>
        <v>2433955.6200960004</v>
      </c>
      <c r="I98" s="17">
        <f>'Datos Actividad'!$Y94*'FE Sectorial'!$H97*'FE Sectorial'!J97/1000/1000</f>
        <v>95.292287999999999</v>
      </c>
      <c r="J98" s="17">
        <f>'Datos Actividad'!$Y94*'FE Sectorial'!$H97*'FE Sectorial'!K97/1000/1000</f>
        <v>19.058457599999997</v>
      </c>
      <c r="K98" s="17">
        <f>'Datos Actividad'!$Y94*'FE Sectorial'!$H97*'FE Sectorial'!L97/1000/1000</f>
        <v>6352.8191999999999</v>
      </c>
      <c r="L98" s="17">
        <f>'Datos Actividad'!$Y94*'FE Sectorial'!$H97*'FE Sectorial'!M97/1000/1000</f>
        <v>317.64096000000001</v>
      </c>
      <c r="M98" s="17">
        <f>'Datos Actividad'!$Y94*'FE Sectorial'!$H97*'FE Sectorial'!N97/1000/1000</f>
        <v>158.82048</v>
      </c>
      <c r="N98" s="17">
        <f>'Datos Actividad'!$Y94*'FE Sectorial'!$H97*'FE Sectorial'!O97/1000/1000</f>
        <v>6289.92</v>
      </c>
      <c r="O98" s="87">
        <f>IF(D98&lt;400,H98+I98*'Factores generales'!$M$41+J98*'Factores generales'!$N$41,I98*'Factores generales'!$M$41+J98*'Factores generales'!$N$41)</f>
        <v>2441864.8800000004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Actividad'!$Y95*'FE Sectorial'!$H98*'FE Sectorial'!I98*'FE Sectorial'!P98/1000</f>
        <v>0</v>
      </c>
      <c r="I99" s="17">
        <f>'Datos Actividad'!$Y95*'FE Sectorial'!$H98*'FE Sectorial'!J98/1000/1000</f>
        <v>0</v>
      </c>
      <c r="J99" s="17">
        <f>'Datos Actividad'!$Y95*'FE Sectorial'!$H98*'FE Sectorial'!K98/1000/1000</f>
        <v>0</v>
      </c>
      <c r="K99" s="17">
        <f>'Datos Actividad'!$Y95*'FE Sectorial'!$H98*'FE Sectorial'!L98/1000/1000</f>
        <v>0</v>
      </c>
      <c r="L99" s="17">
        <f>'Datos Actividad'!$Y95*'FE Sectorial'!$H98*'FE Sectorial'!M98/1000/1000</f>
        <v>0</v>
      </c>
      <c r="M99" s="17">
        <f>'Datos Actividad'!$Y95*'FE Sectorial'!$H98*'FE Sectorial'!N98/1000/1000</f>
        <v>0</v>
      </c>
      <c r="N99" s="17">
        <f>'Datos Actividad'!$Y95*'FE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Actividad'!$Y96*'FE Sectorial'!$H99*'FE Sectorial'!I99*'FE Sectorial'!P99/1000</f>
        <v>0</v>
      </c>
      <c r="I100" s="17">
        <f>'Datos Actividad'!$Y96*'FE Sectorial'!$H99*'FE Sectorial'!J99/1000/1000</f>
        <v>0</v>
      </c>
      <c r="J100" s="17">
        <f>'Datos Actividad'!$Y96*'FE Sectorial'!$H99*'FE Sectorial'!K99/1000/1000</f>
        <v>0</v>
      </c>
      <c r="K100" s="17">
        <f>'Datos Actividad'!$Y96*'FE Sectorial'!$H99*'FE Sectorial'!L99/1000/1000</f>
        <v>0</v>
      </c>
      <c r="L100" s="17">
        <f>'Datos Actividad'!$Y96*'FE Sectorial'!$H99*'FE Sectorial'!M99/1000/1000</f>
        <v>0</v>
      </c>
      <c r="M100" s="17">
        <f>'Datos Actividad'!$Y96*'FE Sectorial'!$H99*'FE Sectorial'!N99/1000/1000</f>
        <v>0</v>
      </c>
      <c r="N100" s="17">
        <f>'Datos Actividad'!$Y96*'FE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32119143.580462392</v>
      </c>
      <c r="I101" s="129">
        <f t="shared" si="23"/>
        <v>7772.6149859830421</v>
      </c>
      <c r="J101" s="129">
        <f t="shared" si="23"/>
        <v>2675.4273504695134</v>
      </c>
      <c r="K101" s="129">
        <f t="shared" si="23"/>
        <v>307074.68081851956</v>
      </c>
      <c r="L101" s="129">
        <f t="shared" si="23"/>
        <v>1861217.7890721995</v>
      </c>
      <c r="M101" s="129">
        <f t="shared" si="23"/>
        <v>350499.17564031441</v>
      </c>
      <c r="N101" s="129">
        <f t="shared" si="23"/>
        <v>8850.6042795152189</v>
      </c>
      <c r="O101" s="129">
        <f t="shared" si="23"/>
        <v>33111750.973813582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764968.97269922704</v>
      </c>
      <c r="I102" s="134">
        <f t="shared" ref="I102:O102" si="24">I105</f>
        <v>5.4034680560798689</v>
      </c>
      <c r="J102" s="134">
        <f t="shared" si="24"/>
        <v>21.613872224319476</v>
      </c>
      <c r="K102" s="134">
        <f t="shared" si="24"/>
        <v>2701.7340280399344</v>
      </c>
      <c r="L102" s="134">
        <f t="shared" si="24"/>
        <v>1080.6936112159738</v>
      </c>
      <c r="M102" s="134">
        <f t="shared" si="24"/>
        <v>540.34680560798688</v>
      </c>
      <c r="N102" s="134">
        <f t="shared" si="24"/>
        <v>490.11048127708563</v>
      </c>
      <c r="O102" s="134">
        <f t="shared" si="24"/>
        <v>771782.74591794366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1484785.723227375</v>
      </c>
      <c r="I103" s="15">
        <f t="shared" ref="I103:O103" si="25">I104</f>
        <v>10.487996914793918</v>
      </c>
      <c r="J103" s="15">
        <f t="shared" si="25"/>
        <v>41.951987659175671</v>
      </c>
      <c r="K103" s="15">
        <f t="shared" si="25"/>
        <v>5243.9984573969587</v>
      </c>
      <c r="L103" s="15">
        <f t="shared" si="25"/>
        <v>2097.5993829587837</v>
      </c>
      <c r="M103" s="15">
        <f t="shared" si="25"/>
        <v>1048.7996914793919</v>
      </c>
      <c r="N103" s="15">
        <f t="shared" si="25"/>
        <v>951.29223716951628</v>
      </c>
      <c r="O103" s="15">
        <f t="shared" si="25"/>
        <v>1498011.08733693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Actividad'!$Y100*'FE Sectorial'!$H103*'FE Sectorial'!I103*'FE Sectorial'!P103/1000</f>
        <v>1484785.723227375</v>
      </c>
      <c r="I104" s="17">
        <f>'Datos Actividad'!$Y100*'FE Sectorial'!$H103*'FE Sectorial'!J103/1000/1000</f>
        <v>10.487996914793918</v>
      </c>
      <c r="J104" s="17">
        <f>'Datos Actividad'!$Y100*'FE Sectorial'!$H103*'FE Sectorial'!K103/1000/1000</f>
        <v>41.951987659175671</v>
      </c>
      <c r="K104" s="17">
        <f>'Datos Actividad'!$Y100*'FE Sectorial'!$H103*'FE Sectorial'!L103/1000/1000</f>
        <v>5243.9984573969587</v>
      </c>
      <c r="L104" s="17">
        <f>'Datos Actividad'!$Y100*'FE Sectorial'!$H103*'FE Sectorial'!M103/1000/1000</f>
        <v>2097.5993829587837</v>
      </c>
      <c r="M104" s="17">
        <f>'Datos Actividad'!$Y100*'FE Sectorial'!$H103*'FE Sectorial'!N103/1000/1000</f>
        <v>1048.7996914793919</v>
      </c>
      <c r="N104" s="17">
        <f>'Datos Actividad'!$Y100*'FE Sectorial'!$H103*'FE Sectorial'!O103/1000/1000</f>
        <v>951.29223716951628</v>
      </c>
      <c r="O104" s="87">
        <f>IF(D104&lt;400,H104+I104*'Factores generales'!$M$41+J104*'Factores generales'!$N$41,I104*'Factores generales'!$M$41+J104*'Factores generales'!$N$41)</f>
        <v>1498011.08733693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764968.97269922704</v>
      </c>
      <c r="I105" s="15">
        <f t="shared" ref="I105:O105" si="26">I106</f>
        <v>5.4034680560798689</v>
      </c>
      <c r="J105" s="15">
        <f t="shared" si="26"/>
        <v>21.613872224319476</v>
      </c>
      <c r="K105" s="15">
        <f t="shared" si="26"/>
        <v>2701.7340280399344</v>
      </c>
      <c r="L105" s="15">
        <f t="shared" si="26"/>
        <v>1080.6936112159738</v>
      </c>
      <c r="M105" s="15">
        <f t="shared" si="26"/>
        <v>540.34680560798688</v>
      </c>
      <c r="N105" s="15">
        <f t="shared" si="26"/>
        <v>490.11048127708563</v>
      </c>
      <c r="O105" s="15">
        <f t="shared" si="26"/>
        <v>771782.74591794366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Actividad'!$Y102*'FE Sectorial'!$H105*'FE Sectorial'!I105*'FE Sectorial'!P105/1000</f>
        <v>764968.97269922704</v>
      </c>
      <c r="I106" s="17">
        <f>'Datos Actividad'!$Y102*'FE Sectorial'!$H105*'FE Sectorial'!J105/1000/1000</f>
        <v>5.4034680560798689</v>
      </c>
      <c r="J106" s="17">
        <f>'Datos Actividad'!$Y102*'FE Sectorial'!$H105*'FE Sectorial'!K105/1000/1000</f>
        <v>21.613872224319476</v>
      </c>
      <c r="K106" s="17">
        <f>'Datos Actividad'!$Y102*'FE Sectorial'!$H105*'FE Sectorial'!L105/1000/1000</f>
        <v>2701.7340280399344</v>
      </c>
      <c r="L106" s="17">
        <f>'Datos Actividad'!$Y102*'FE Sectorial'!$H105*'FE Sectorial'!M105/1000/1000</f>
        <v>1080.6936112159738</v>
      </c>
      <c r="M106" s="17">
        <f>'Datos Actividad'!$Y102*'FE Sectorial'!$H105*'FE Sectorial'!N105/1000/1000</f>
        <v>540.34680560798688</v>
      </c>
      <c r="N106" s="17">
        <f>'Datos Actividad'!$Y102*'FE Sectorial'!$H105*'FE Sectorial'!O105/1000/1000</f>
        <v>490.11048127708563</v>
      </c>
      <c r="O106" s="87">
        <f>IF(D106&lt;400,H106+I106*'Factores generales'!$M$41+J106*'Factores generales'!$N$41,I106*'Factores generales'!$M$41+J106*'Factores generales'!$N$41)</f>
        <v>771782.74591794366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29349170.142137203</v>
      </c>
      <c r="I107" s="134">
        <f t="shared" si="27"/>
        <v>7699.0046661962497</v>
      </c>
      <c r="J107" s="134">
        <f t="shared" si="27"/>
        <v>2459.002482978548</v>
      </c>
      <c r="K107" s="134">
        <f t="shared" si="27"/>
        <v>289317.40883104299</v>
      </c>
      <c r="L107" s="134">
        <f t="shared" si="27"/>
        <v>1850719.9532580229</v>
      </c>
      <c r="M107" s="134">
        <f t="shared" si="27"/>
        <v>348051.18605361815</v>
      </c>
      <c r="N107" s="134">
        <f t="shared" si="27"/>
        <v>7908.0094901351067</v>
      </c>
      <c r="O107" s="134">
        <f t="shared" si="27"/>
        <v>30273140.009850673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27094588.500818588</v>
      </c>
      <c r="I108" s="15">
        <f t="shared" ref="I108:O108" si="28">I109+I110+I111+I112+I113</f>
        <v>7579.1438665514534</v>
      </c>
      <c r="J108" s="15">
        <f t="shared" si="28"/>
        <v>2339.1416833337516</v>
      </c>
      <c r="K108" s="15">
        <f t="shared" si="28"/>
        <v>264730.57813467452</v>
      </c>
      <c r="L108" s="15">
        <f t="shared" si="28"/>
        <v>1819986.4148875624</v>
      </c>
      <c r="M108" s="15">
        <f t="shared" si="28"/>
        <v>341904.47837952606</v>
      </c>
      <c r="N108" s="15">
        <f t="shared" si="28"/>
        <v>6793.0253073928161</v>
      </c>
      <c r="O108" s="15">
        <f t="shared" si="28"/>
        <v>27978884.443849631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Actividad'!$Y105*'FE Sectorial'!$H108*'FE Sectorial'!I108*'FE Sectorial'!P108/1000</f>
        <v>1086540.587572176</v>
      </c>
      <c r="I109" s="17">
        <f>'Datos Actividad'!$Y105*'FE Sectorial'!$H108*'FE Sectorial'!J108/1000/1000</f>
        <v>1790.8031074560001</v>
      </c>
      <c r="J109" s="17">
        <f>'Datos Actividad'!$Y105*'FE Sectorial'!$H108*'FE Sectorial'!K108/1000/1000</f>
        <v>58.395753504000005</v>
      </c>
      <c r="K109" s="17">
        <f>'Datos Actividad'!$Y105*'FE Sectorial'!$H108*'FE Sectorial'!L108/1000/1000</f>
        <v>11679.150700800001</v>
      </c>
      <c r="L109" s="17">
        <f>'Datos Actividad'!$Y105*'FE Sectorial'!$H108*'FE Sectorial'!M108/1000/1000</f>
        <v>7786.1004672000008</v>
      </c>
      <c r="M109" s="17">
        <f>'Datos Actividad'!$Y105*'FE Sectorial'!$H108*'FE Sectorial'!N108/1000/1000</f>
        <v>97.326255840000002</v>
      </c>
      <c r="N109" s="17">
        <f>'Datos Actividad'!$Y105*'FE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1142250.1364149922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Actividad'!$Y106*'FE Sectorial'!$H109*'FE Sectorial'!I109*'FE Sectorial'!P109/1000</f>
        <v>11852426.827868067</v>
      </c>
      <c r="I110" s="17">
        <f>'Datos Actividad'!$Y106*'FE Sectorial'!$H109*'FE Sectorial'!J109/1000/1000</f>
        <v>630.11306899883402</v>
      </c>
      <c r="J110" s="17">
        <f>'Datos Actividad'!$Y106*'FE Sectorial'!$H109*'FE Sectorial'!K109/1000/1000</f>
        <v>630.11306899883402</v>
      </c>
      <c r="K110" s="17">
        <f>'Datos Actividad'!$Y106*'FE Sectorial'!$H109*'FE Sectorial'!L109/1000/1000</f>
        <v>129253.96287155572</v>
      </c>
      <c r="L110" s="17">
        <f>'Datos Actividad'!$Y106*'FE Sectorial'!$H109*'FE Sectorial'!M109/1000/1000</f>
        <v>161567.45358944463</v>
      </c>
      <c r="M110" s="17">
        <f>'Datos Actividad'!$Y106*'FE Sectorial'!$H109*'FE Sectorial'!N109/1000/1000</f>
        <v>32313.49071788893</v>
      </c>
      <c r="N110" s="17">
        <f>'Datos Actividad'!$Y106*'FE Sectorial'!$H109*'FE Sectorial'!O109/1000/1000</f>
        <v>5861.5169209193864</v>
      </c>
      <c r="O110" s="87">
        <f>IF(D110&lt;400,H110+I110*'Factores generales'!$M$41+J110*'Factores generales'!$N$41,I110*'Factores generales'!$M$41+J110*'Factores generales'!$N$41)</f>
        <v>12060994.253706681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Actividad'!$Y107*'FE Sectorial'!$H110*'FE Sectorial'!I110*'FE Sectorial'!P110/1000</f>
        <v>14155621.085378345</v>
      </c>
      <c r="I111" s="17">
        <f>'Datos Actividad'!$Y107*'FE Sectorial'!$H110*'FE Sectorial'!J110/1000/1000</f>
        <v>5158.227690096619</v>
      </c>
      <c r="J111" s="17">
        <f>'Datos Actividad'!$Y107*'FE Sectorial'!$H110*'FE Sectorial'!K110/1000/1000</f>
        <v>1650.6328608309177</v>
      </c>
      <c r="K111" s="17">
        <f>'Datos Actividad'!$Y107*'FE Sectorial'!$H110*'FE Sectorial'!L110/1000/1000</f>
        <v>123797.46456231883</v>
      </c>
      <c r="L111" s="17">
        <f>'Datos Actividad'!$Y107*'FE Sectorial'!$H110*'FE Sectorial'!M110/1000/1000</f>
        <v>1650632.8608309177</v>
      </c>
      <c r="M111" s="17">
        <f>'Datos Actividad'!$Y107*'FE Sectorial'!$H110*'FE Sectorial'!N110/1000/1000</f>
        <v>309493.66140579712</v>
      </c>
      <c r="N111" s="17">
        <f>'Datos Actividad'!$Y107*'FE Sectorial'!$H110*'FE Sectorial'!O110/1000/1000</f>
        <v>931.50838647343005</v>
      </c>
      <c r="O111" s="87">
        <f>IF(D111&lt;400,H111+I111*'Factores generales'!$M$41+J111*'Factores generales'!$N$41,I111*'Factores generales'!$M$41+J111*'Factores generales'!$N$41)</f>
        <v>14775640.053727958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Actividad'!$Y108*'FE Sectorial'!$H111*'FE Sectorial'!I111*'FE Sectorial'!P111/1000</f>
        <v>0</v>
      </c>
      <c r="I112" s="17">
        <f>'Datos Actividad'!$Y108*'FE Sectorial'!$H111*'FE Sectorial'!J111/1000/1000</f>
        <v>0</v>
      </c>
      <c r="J112" s="17">
        <f>'Datos Actividad'!$Y108*'FE Sectorial'!$H111*'FE Sectorial'!K111/1000/1000</f>
        <v>0</v>
      </c>
      <c r="K112" s="17">
        <f>'Datos Actividad'!$Y108*'FE Sectorial'!$H111*'FE Sectorial'!L111/1000/1000</f>
        <v>0</v>
      </c>
      <c r="L112" s="17">
        <f>'Datos Actividad'!$Y108*'FE Sectorial'!$H111*'FE Sectorial'!M111/1000/1000</f>
        <v>0</v>
      </c>
      <c r="M112" s="17">
        <f>'Datos Actividad'!$Y108*'FE Sectorial'!$H111*'FE Sectorial'!N111/1000/1000</f>
        <v>0</v>
      </c>
      <c r="N112" s="17">
        <f>'Datos Actividad'!$Y108*'FE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Actividad'!$Y109*'FE Sectorial'!$H112*'FE Sectorial'!I112*'FE Sectorial'!P112/1000</f>
        <v>0</v>
      </c>
      <c r="I113" s="17">
        <f>'Datos Actividad'!$Y109*'FE Sectorial'!$H112*'FE Sectorial'!J112/1000/1000</f>
        <v>0</v>
      </c>
      <c r="J113" s="17">
        <f>'Datos Actividad'!$Y109*'FE Sectorial'!$H112*'FE Sectorial'!K112/1000/1000</f>
        <v>0</v>
      </c>
      <c r="K113" s="17">
        <f>'Datos Actividad'!$Y109*'FE Sectorial'!$H112*'FE Sectorial'!L112/1000/1000</f>
        <v>0</v>
      </c>
      <c r="L113" s="17">
        <f>'Datos Actividad'!$Y109*'FE Sectorial'!$H112*'FE Sectorial'!M112/1000/1000</f>
        <v>0</v>
      </c>
      <c r="M113" s="17">
        <f>'Datos Actividad'!$Y109*'FE Sectorial'!$H112*'FE Sectorial'!N112/1000/1000</f>
        <v>0</v>
      </c>
      <c r="N113" s="17">
        <f>'Datos Actividad'!$Y109*'FE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2254581.6413186169</v>
      </c>
      <c r="I114" s="15">
        <f t="shared" ref="I114:O114" si="29">I115</f>
        <v>119.86079964479623</v>
      </c>
      <c r="J114" s="15">
        <f t="shared" si="29"/>
        <v>119.86079964479623</v>
      </c>
      <c r="K114" s="15">
        <f t="shared" si="29"/>
        <v>24586.830696368459</v>
      </c>
      <c r="L114" s="15">
        <f t="shared" si="29"/>
        <v>30733.538370460574</v>
      </c>
      <c r="M114" s="15">
        <f t="shared" si="29"/>
        <v>6146.7076740921148</v>
      </c>
      <c r="N114" s="15">
        <f t="shared" si="29"/>
        <v>1114.9841827422904</v>
      </c>
      <c r="O114" s="15">
        <f t="shared" si="29"/>
        <v>2294255.5660010441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Actividad'!$Y111*'FE Sectorial'!$H114*'FE Sectorial'!I114*'FE Sectorial'!P114/1000</f>
        <v>2254581.6413186169</v>
      </c>
      <c r="I115" s="17">
        <f>'Datos Actividad'!$Y111*'FE Sectorial'!$H114*'FE Sectorial'!J114/1000/1000</f>
        <v>119.86079964479623</v>
      </c>
      <c r="J115" s="17">
        <f>'Datos Actividad'!$Y111*'FE Sectorial'!$H114*'FE Sectorial'!K114/1000/1000</f>
        <v>119.86079964479623</v>
      </c>
      <c r="K115" s="17">
        <f>'Datos Actividad'!$Y111*'FE Sectorial'!$H114*'FE Sectorial'!L114/1000/1000</f>
        <v>24586.830696368459</v>
      </c>
      <c r="L115" s="17">
        <f>'Datos Actividad'!$Y111*'FE Sectorial'!$H114*'FE Sectorial'!M114/1000/1000</f>
        <v>30733.538370460574</v>
      </c>
      <c r="M115" s="17">
        <f>'Datos Actividad'!$Y111*'FE Sectorial'!$H114*'FE Sectorial'!N114/1000/1000</f>
        <v>6146.7076740921148</v>
      </c>
      <c r="N115" s="17">
        <f>'Datos Actividad'!$Y111*'FE Sectorial'!$H114*'FE Sectorial'!O114/1000/1000</f>
        <v>1114.9841827422904</v>
      </c>
      <c r="O115" s="87">
        <f>IF(D115&lt;400,H115+I115*'Factores generales'!$M$41+J115*'Factores generales'!$N$41,I115*'Factores generales'!$M$41+J115*'Factores generales'!$N$41)</f>
        <v>2294255.5660010441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481147.98699438531</v>
      </c>
      <c r="I116" s="134">
        <f t="shared" ref="I116:O116" si="30">I117</f>
        <v>27.219075314912953</v>
      </c>
      <c r="J116" s="134">
        <f t="shared" si="30"/>
        <v>187.58206120638806</v>
      </c>
      <c r="K116" s="134">
        <f t="shared" si="30"/>
        <v>7870.5759946736234</v>
      </c>
      <c r="L116" s="134">
        <f t="shared" si="30"/>
        <v>6558.8133288946865</v>
      </c>
      <c r="M116" s="134">
        <f t="shared" si="30"/>
        <v>1311.7626657789374</v>
      </c>
      <c r="N116" s="134">
        <f t="shared" si="30"/>
        <v>237.94764635059792</v>
      </c>
      <c r="O116" s="134">
        <f t="shared" si="30"/>
        <v>539870.02654997876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Actividad'!$Y113*'FE Sectorial'!$H116*'FE Sectorial'!I116*'FE Sectorial'!P116/1000</f>
        <v>481147.98699438531</v>
      </c>
      <c r="I117" s="17">
        <f>'Datos Actividad'!$Y113*'FE Sectorial'!$H116*'FE Sectorial'!J116/1000/1000</f>
        <v>27.219075314912953</v>
      </c>
      <c r="J117" s="17">
        <f>'Datos Actividad'!$Y113*'FE Sectorial'!$H116*'FE Sectorial'!K116/1000/1000</f>
        <v>187.58206120638806</v>
      </c>
      <c r="K117" s="17">
        <f>'Datos Actividad'!$Y113*'FE Sectorial'!$H116*'FE Sectorial'!L116/1000/1000</f>
        <v>7870.5759946736234</v>
      </c>
      <c r="L117" s="17">
        <f>'Datos Actividad'!$Y113*'FE Sectorial'!$H116*'FE Sectorial'!M116/1000/1000</f>
        <v>6558.8133288946865</v>
      </c>
      <c r="M117" s="17">
        <f>'Datos Actividad'!$Y113*'FE Sectorial'!$H116*'FE Sectorial'!N116/1000/1000</f>
        <v>1311.7626657789374</v>
      </c>
      <c r="N117" s="17">
        <f>'Datos Actividad'!$Y113*'FE Sectorial'!$H116*'FE Sectorial'!O116/1000/1000</f>
        <v>237.94764635059792</v>
      </c>
      <c r="O117" s="87">
        <f>IF(D117&lt;400,H117+I117*'Factores generales'!$M$41+J117*'Factores generales'!$N$41,I117*'Factores generales'!$M$41+J117*'Factores generales'!$N$41)</f>
        <v>539870.02654997876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176894.05173186795</v>
      </c>
      <c r="I118" s="134">
        <f t="shared" ref="I118:O118" si="31">I122</f>
        <v>16.641400625459394</v>
      </c>
      <c r="J118" s="134">
        <f t="shared" si="31"/>
        <v>4.7546858929883982</v>
      </c>
      <c r="K118" s="134">
        <f t="shared" si="31"/>
        <v>3566.0144197412983</v>
      </c>
      <c r="L118" s="134">
        <f t="shared" si="31"/>
        <v>2377.3429464941992</v>
      </c>
      <c r="M118" s="134">
        <f t="shared" si="31"/>
        <v>475.46858929883979</v>
      </c>
      <c r="N118" s="134">
        <f t="shared" si="31"/>
        <v>209.74654410537093</v>
      </c>
      <c r="O118" s="134">
        <f t="shared" si="31"/>
        <v>178717.47377182901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1359834.9233698349</v>
      </c>
      <c r="I119" s="15">
        <f t="shared" ref="I119:O119" si="32">I120+I121</f>
        <v>126.429775955</v>
      </c>
      <c r="J119" s="15">
        <f t="shared" si="32"/>
        <v>36.122793129999998</v>
      </c>
      <c r="K119" s="15">
        <f t="shared" si="32"/>
        <v>27092.0948475</v>
      </c>
      <c r="L119" s="15">
        <f t="shared" si="32"/>
        <v>18061.396564999999</v>
      </c>
      <c r="M119" s="15">
        <f t="shared" si="32"/>
        <v>3612.279313</v>
      </c>
      <c r="N119" s="15">
        <f t="shared" si="32"/>
        <v>2381.5214698</v>
      </c>
      <c r="O119" s="15">
        <f t="shared" si="32"/>
        <v>1373688.0145351901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Actividad'!$Y116*'FE Sectorial'!$H119*'FE Sectorial'!I119*'FE Sectorial'!P119/1000</f>
        <v>541999.95504583488</v>
      </c>
      <c r="I120" s="17">
        <f>'Datos Actividad'!$Y116*'FE Sectorial'!$H119*'FE Sectorial'!J119/1000/1000</f>
        <v>51.718257954999999</v>
      </c>
      <c r="J120" s="17">
        <f>'Datos Actividad'!$Y116*'FE Sectorial'!$H119*'FE Sectorial'!K119/1000/1000</f>
        <v>14.776645129999999</v>
      </c>
      <c r="K120" s="17">
        <f>'Datos Actividad'!$Y116*'FE Sectorial'!$H119*'FE Sectorial'!L119/1000/1000</f>
        <v>11082.4838475</v>
      </c>
      <c r="L120" s="17">
        <f>'Datos Actividad'!$Y116*'FE Sectorial'!$H119*'FE Sectorial'!M119/1000/1000</f>
        <v>7388.3225649999995</v>
      </c>
      <c r="M120" s="17">
        <f>'Datos Actividad'!$Y116*'FE Sectorial'!$H119*'FE Sectorial'!N119/1000/1000</f>
        <v>1477.6645129999999</v>
      </c>
      <c r="N120" s="17">
        <f>'Datos Actividad'!$Y116*'FE Sectorial'!$H119*'FE Sectorial'!O119/1000/1000</f>
        <v>268.04146979999996</v>
      </c>
      <c r="O120" s="87">
        <f>IF(D120&lt;400,H120+I120*'Factores generales'!$M$41+J120*'Factores generales'!$N$41,I120*'Factores generales'!$M$41+J120*'Factores generales'!$N$41)</f>
        <v>547666.7984531899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Actividad'!$Y117*'FE Sectorial'!$H120*'FE Sectorial'!I120*'FE Sectorial'!P120/1000</f>
        <v>817834.96832400002</v>
      </c>
      <c r="I121" s="17">
        <f>'Datos Actividad'!$Y117*'FE Sectorial'!$H120*'FE Sectorial'!J120/1000/1000</f>
        <v>74.711517999999998</v>
      </c>
      <c r="J121" s="17">
        <f>'Datos Actividad'!$Y117*'FE Sectorial'!$H120*'FE Sectorial'!K120/1000/1000</f>
        <v>21.346147999999999</v>
      </c>
      <c r="K121" s="17">
        <f>'Datos Actividad'!$Y117*'FE Sectorial'!$H120*'FE Sectorial'!L120/1000/1000</f>
        <v>16009.611000000001</v>
      </c>
      <c r="L121" s="17">
        <f>'Datos Actividad'!$Y117*'FE Sectorial'!$H120*'FE Sectorial'!M120/1000/1000</f>
        <v>10673.074000000001</v>
      </c>
      <c r="M121" s="17">
        <f>'Datos Actividad'!$Y117*'FE Sectorial'!$H120*'FE Sectorial'!N120/1000/1000</f>
        <v>2134.6147999999998</v>
      </c>
      <c r="N121" s="17">
        <f>'Datos Actividad'!$Y117*'FE Sectorial'!$H120*'FE Sectorial'!O120/1000/1000</f>
        <v>2113.48</v>
      </c>
      <c r="O121" s="87">
        <f>IF(D121&lt;400,H121+I121*'Factores generales'!$M$41+J121*'Factores generales'!$N$41,I121*'Factores generales'!$M$41+J121*'Factores generales'!$N$41)</f>
        <v>826021.21608200006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176894.05173186795</v>
      </c>
      <c r="I122" s="15">
        <f t="shared" ref="I122:O122" si="33">I123+I124</f>
        <v>16.641400625459394</v>
      </c>
      <c r="J122" s="15">
        <f t="shared" si="33"/>
        <v>4.7546858929883982</v>
      </c>
      <c r="K122" s="15">
        <f t="shared" si="33"/>
        <v>3566.0144197412983</v>
      </c>
      <c r="L122" s="15">
        <f t="shared" si="33"/>
        <v>2377.3429464941992</v>
      </c>
      <c r="M122" s="15">
        <f t="shared" si="33"/>
        <v>475.46858929883979</v>
      </c>
      <c r="N122" s="15">
        <f t="shared" si="33"/>
        <v>209.74654410537093</v>
      </c>
      <c r="O122" s="15">
        <f t="shared" si="33"/>
        <v>178717.47377182901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Actividad'!$Y119*'FE Sectorial'!$H122*'FE Sectorial'!I122*'FE Sectorial'!P122/1000</f>
        <v>118385.50317186794</v>
      </c>
      <c r="I123" s="17">
        <f>'Datos Actividad'!$Y119*'FE Sectorial'!$H122*'FE Sectorial'!J122/1000/1000</f>
        <v>11.296480625459393</v>
      </c>
      <c r="J123" s="17">
        <f>'Datos Actividad'!$Y119*'FE Sectorial'!$H122*'FE Sectorial'!K122/1000/1000</f>
        <v>3.2275658929883981</v>
      </c>
      <c r="K123" s="17">
        <f>'Datos Actividad'!$Y119*'FE Sectorial'!$H122*'FE Sectorial'!L122/1000/1000</f>
        <v>2420.6744197412986</v>
      </c>
      <c r="L123" s="17">
        <f>'Datos Actividad'!$Y119*'FE Sectorial'!$H122*'FE Sectorial'!M122/1000/1000</f>
        <v>1613.782946494199</v>
      </c>
      <c r="M123" s="17">
        <f>'Datos Actividad'!$Y119*'FE Sectorial'!$H122*'FE Sectorial'!N122/1000/1000</f>
        <v>322.7565892988398</v>
      </c>
      <c r="N123" s="17">
        <f>'Datos Actividad'!$Y119*'FE Sectorial'!$H122*'FE Sectorial'!O122/1000/1000</f>
        <v>58.546544105370941</v>
      </c>
      <c r="O123" s="87">
        <f>IF(D123&lt;400,H123+I123*'Factores generales'!$M$41+J123*'Factores generales'!$N$41,I123*'Factores generales'!$M$41+J123*'Factores generales'!$N$41)</f>
        <v>119623.27469182899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Actividad'!$Y120*'FE Sectorial'!$H123*'FE Sectorial'!I123*'FE Sectorial'!P123/1000</f>
        <v>58508.54856000001</v>
      </c>
      <c r="I124" s="17">
        <f>'Datos Actividad'!$Y120*'FE Sectorial'!$H123*'FE Sectorial'!J123/1000/1000</f>
        <v>5.3449200000000001</v>
      </c>
      <c r="J124" s="17">
        <f>'Datos Actividad'!$Y120*'FE Sectorial'!$H123*'FE Sectorial'!K123/1000/1000</f>
        <v>1.5271199999999998</v>
      </c>
      <c r="K124" s="17">
        <f>'Datos Actividad'!$Y120*'FE Sectorial'!$H123*'FE Sectorial'!L123/1000/1000</f>
        <v>1145.3399999999999</v>
      </c>
      <c r="L124" s="17">
        <f>'Datos Actividad'!$Y120*'FE Sectorial'!$H123*'FE Sectorial'!M123/1000/1000</f>
        <v>763.56</v>
      </c>
      <c r="M124" s="17">
        <f>'Datos Actividad'!$Y120*'FE Sectorial'!$H123*'FE Sectorial'!N123/1000/1000</f>
        <v>152.71199999999999</v>
      </c>
      <c r="N124" s="17">
        <f>'Datos Actividad'!$Y120*'FE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1346962.4268997058</v>
      </c>
      <c r="I125" s="134">
        <f t="shared" si="34"/>
        <v>24.346375790340819</v>
      </c>
      <c r="J125" s="134">
        <f t="shared" si="34"/>
        <v>2.4742481672693759</v>
      </c>
      <c r="K125" s="134">
        <f t="shared" si="34"/>
        <v>3618.9475450217105</v>
      </c>
      <c r="L125" s="134">
        <f t="shared" si="34"/>
        <v>480.98592757152227</v>
      </c>
      <c r="M125" s="134">
        <f t="shared" si="34"/>
        <v>120.41152601052764</v>
      </c>
      <c r="N125" s="134">
        <f t="shared" si="34"/>
        <v>4.7901176470588238</v>
      </c>
      <c r="O125" s="134">
        <f t="shared" si="34"/>
        <v>1348240.7177231566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1346962.4268997058</v>
      </c>
      <c r="I126" s="15">
        <f t="shared" si="35"/>
        <v>24.346375790340819</v>
      </c>
      <c r="J126" s="15">
        <f t="shared" si="35"/>
        <v>2.4742481672693759</v>
      </c>
      <c r="K126" s="15">
        <f t="shared" si="35"/>
        <v>3618.9475450217105</v>
      </c>
      <c r="L126" s="15">
        <f t="shared" si="35"/>
        <v>480.98592757152227</v>
      </c>
      <c r="M126" s="15">
        <f t="shared" si="35"/>
        <v>120.41152601052764</v>
      </c>
      <c r="N126" s="15">
        <f t="shared" si="35"/>
        <v>4.7901176470588238</v>
      </c>
      <c r="O126" s="15">
        <f t="shared" si="35"/>
        <v>1348240.7177231566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Actividad'!$Y123*'FE Sectorial'!$H126*'FE Sectorial'!I126*'FE Sectorial'!P126/1000</f>
        <v>1322517.0783818893</v>
      </c>
      <c r="I127" s="17">
        <f>'Datos Actividad'!$Y123*'FE Sectorial'!$H126*'FE Sectorial'!J126/1000/1000</f>
        <v>23.692743187987876</v>
      </c>
      <c r="J127" s="17">
        <f>'Datos Actividad'!$Y123*'FE Sectorial'!$H126*'FE Sectorial'!K126/1000/1000</f>
        <v>2.3692743187987877</v>
      </c>
      <c r="K127" s="17">
        <f>'Datos Actividad'!$Y123*'FE Sectorial'!$H126*'FE Sectorial'!L126/1000/1000</f>
        <v>3553.9114781981812</v>
      </c>
      <c r="L127" s="17">
        <f>'Datos Actividad'!$Y123*'FE Sectorial'!$H126*'FE Sectorial'!M126/1000/1000</f>
        <v>473.85486375975756</v>
      </c>
      <c r="M127" s="17">
        <f>'Datos Actividad'!$Y123*'FE Sectorial'!$H126*'FE Sectorial'!N126/1000/1000</f>
        <v>118.46371593993939</v>
      </c>
      <c r="N127" s="17">
        <f>'Datos Actividad'!$Y123*'FE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1323749.1010276647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Actividad'!$Y124*'FE Sectorial'!$H127*'FE Sectorial'!I127*'FE Sectorial'!P127/1000</f>
        <v>9685.9771411764705</v>
      </c>
      <c r="I128" s="17">
        <f>'Datos Actividad'!$Y124*'FE Sectorial'!$H127*'FE Sectorial'!J127/1000/1000</f>
        <v>0.39610588235294114</v>
      </c>
      <c r="J128" s="17">
        <f>'Datos Actividad'!$Y124*'FE Sectorial'!$H127*'FE Sectorial'!K127/1000/1000</f>
        <v>7.9221176470588225E-2</v>
      </c>
      <c r="K128" s="17">
        <f>'Datos Actividad'!$Y124*'FE Sectorial'!$H127*'FE Sectorial'!L127/1000/1000</f>
        <v>26.407058823529411</v>
      </c>
      <c r="L128" s="17">
        <f>'Datos Actividad'!$Y124*'FE Sectorial'!$H127*'FE Sectorial'!M127/1000/1000</f>
        <v>1.9805294117647059</v>
      </c>
      <c r="M128" s="17">
        <f>'Datos Actividad'!$Y124*'FE Sectorial'!$H127*'FE Sectorial'!N127/1000/1000</f>
        <v>0.66017647058823514</v>
      </c>
      <c r="N128" s="17">
        <f>'Datos Actividad'!$Y124*'FE Sectorial'!$H127*'FE Sectorial'!O127/1000/1000</f>
        <v>4.7901176470588238</v>
      </c>
      <c r="O128" s="87">
        <f>IF(D128&lt;400,H128+I128*'Factores generales'!$M$41+J128*'Factores generales'!$N$41,I128*'Factores generales'!$M$41+J128*'Factores generales'!$N$41)</f>
        <v>9718.8539294117636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Actividad'!$Y125*'FE Sectorial'!$H128*'FE Sectorial'!I128*'FE Sectorial'!P128/1000</f>
        <v>14759.371376640001</v>
      </c>
      <c r="I129" s="17">
        <f>'Datos Actividad'!$Y125*'FE Sectorial'!$H128*'FE Sectorial'!J128/1000/1000</f>
        <v>0.25752671999999999</v>
      </c>
      <c r="J129" s="17">
        <f>'Datos Actividad'!$Y125*'FE Sectorial'!$H128*'FE Sectorial'!K128/1000/1000</f>
        <v>2.5752672000000004E-2</v>
      </c>
      <c r="K129" s="17">
        <f>'Datos Actividad'!$Y125*'FE Sectorial'!$H128*'FE Sectorial'!L128/1000/1000</f>
        <v>38.629007999999999</v>
      </c>
      <c r="L129" s="17">
        <f>'Datos Actividad'!$Y125*'FE Sectorial'!$H128*'FE Sectorial'!M128/1000/1000</f>
        <v>5.1505344000000006</v>
      </c>
      <c r="M129" s="17">
        <f>'Datos Actividad'!$Y125*'FE Sectorial'!$H128*'FE Sectorial'!N128/1000/1000</f>
        <v>1.2876336000000002</v>
      </c>
      <c r="N129" s="17">
        <f>'Datos Actividad'!$Y125*'FE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14772.762766080003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22132299.732180208</v>
      </c>
      <c r="I131" s="129">
        <f t="shared" si="36"/>
        <v>2397.0672770792426</v>
      </c>
      <c r="J131" s="129">
        <f t="shared" si="36"/>
        <v>175.35380599119097</v>
      </c>
      <c r="K131" s="129">
        <f t="shared" si="36"/>
        <v>135410.45062356541</v>
      </c>
      <c r="L131" s="129">
        <f t="shared" si="36"/>
        <v>211851.29306846811</v>
      </c>
      <c r="M131" s="129">
        <f t="shared" si="36"/>
        <v>26277.845148503009</v>
      </c>
      <c r="N131" s="129">
        <f t="shared" si="36"/>
        <v>8004.7730715755388</v>
      </c>
      <c r="O131" s="129">
        <f t="shared" si="36"/>
        <v>22236997.824856143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3483416.803731055</v>
      </c>
      <c r="I132" s="134">
        <f>SUM(I133:I137)</f>
        <v>81.811744867042705</v>
      </c>
      <c r="J132" s="134">
        <f t="shared" ref="J132:O132" si="37">SUM(J133:J137)</f>
        <v>11.680213192586622</v>
      </c>
      <c r="K132" s="134">
        <f t="shared" si="37"/>
        <v>8189.5499065269942</v>
      </c>
      <c r="L132" s="134">
        <f t="shared" si="37"/>
        <v>2574.3371374697826</v>
      </c>
      <c r="M132" s="134">
        <f t="shared" si="37"/>
        <v>292.42410080580174</v>
      </c>
      <c r="N132" s="134">
        <f t="shared" si="37"/>
        <v>493.15853021756647</v>
      </c>
      <c r="O132" s="134">
        <f t="shared" si="37"/>
        <v>3488755.7164629647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Actividad'!$Y129*'FE Sectorial'!$H132*'FE Sectorial'!I132*'FE Sectorial'!P132/1000</f>
        <v>0</v>
      </c>
      <c r="I133" s="17">
        <f>'Datos Actividad'!$Y129*'FE Sectorial'!$H132*'FE Sectorial'!J132/1000/1000</f>
        <v>0</v>
      </c>
      <c r="J133" s="17">
        <f>'Datos Actividad'!$Y129*'FE Sectorial'!$H132*'FE Sectorial'!K132/1000/1000</f>
        <v>0</v>
      </c>
      <c r="K133" s="17">
        <f>'Datos Actividad'!$Y129*'FE Sectorial'!$H132*'FE Sectorial'!L132/1000/1000</f>
        <v>0</v>
      </c>
      <c r="L133" s="17">
        <f>'Datos Actividad'!$Y129*'FE Sectorial'!$H132*'FE Sectorial'!M132/1000/1000</f>
        <v>0</v>
      </c>
      <c r="M133" s="17">
        <f>'Datos Actividad'!$Y129*'FE Sectorial'!$H132*'FE Sectorial'!N132/1000/1000</f>
        <v>0</v>
      </c>
      <c r="N133" s="17">
        <f>'Datos Actividad'!$Y129*'FE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Actividad'!$Y130*'FE Sectorial'!$H133*'FE Sectorial'!I133*'FE Sectorial'!P133/1000</f>
        <v>2504375.3591999998</v>
      </c>
      <c r="I134" s="17">
        <f>'Datos Actividad'!$Y130*'FE Sectorial'!$H133*'FE Sectorial'!J133/1000/1000</f>
        <v>44.865600000000001</v>
      </c>
      <c r="J134" s="17">
        <f>'Datos Actividad'!$Y130*'FE Sectorial'!$H133*'FE Sectorial'!K133/1000/1000</f>
        <v>4.4865600000000008</v>
      </c>
      <c r="K134" s="17">
        <f>'Datos Actividad'!$Y130*'FE Sectorial'!$H133*'FE Sectorial'!L133/1000/1000</f>
        <v>6729.84</v>
      </c>
      <c r="L134" s="17">
        <f>'Datos Actividad'!$Y130*'FE Sectorial'!$H133*'FE Sectorial'!M133/1000/1000</f>
        <v>2243.2800000000002</v>
      </c>
      <c r="M134" s="17">
        <f>'Datos Actividad'!$Y130*'FE Sectorial'!$H133*'FE Sectorial'!N133/1000/1000</f>
        <v>224.328</v>
      </c>
      <c r="N134" s="17">
        <f>'Datos Actividad'!$Y130*'FE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2506708.3703999999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Actividad'!$Y131*'FE Sectorial'!$H134*'FE Sectorial'!I134*'FE Sectorial'!P134/1000</f>
        <v>122174.2345216438</v>
      </c>
      <c r="I135" s="17">
        <f>'Datos Actividad'!$Y131*'FE Sectorial'!$H134*'FE Sectorial'!J134/1000/1000</f>
        <v>1.9557578082191776</v>
      </c>
      <c r="J135" s="17">
        <f>'Datos Actividad'!$Y131*'FE Sectorial'!$H134*'FE Sectorial'!K134/1000/1000</f>
        <v>0.19557578082191779</v>
      </c>
      <c r="K135" s="17">
        <f>'Datos Actividad'!$Y131*'FE Sectorial'!$H134*'FE Sectorial'!L134/1000/1000</f>
        <v>293.36367123287664</v>
      </c>
      <c r="L135" s="17">
        <f>'Datos Actividad'!$Y131*'FE Sectorial'!$H134*'FE Sectorial'!M134/1000/1000</f>
        <v>97.787890410958894</v>
      </c>
      <c r="M135" s="17">
        <f>'Datos Actividad'!$Y131*'FE Sectorial'!$H134*'FE Sectorial'!N134/1000/1000</f>
        <v>9.7787890410958873</v>
      </c>
      <c r="N135" s="17">
        <f>'Datos Actividad'!$Y131*'FE Sectorial'!$H134*'FE Sectorial'!O134/1000/1000</f>
        <v>8.269589041095891</v>
      </c>
      <c r="O135" s="87">
        <f>IF(D135&lt;400,H135+I135*'Factores generales'!$M$41+J135*'Factores generales'!$N$41,I135*'Factores generales'!$M$41+J135*'Factores generales'!$N$41)</f>
        <v>122275.9339276712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Actividad'!$Y132*'FE Sectorial'!$H135*'FE Sectorial'!I135*'FE Sectorial'!P135/1000</f>
        <v>827612.93572941143</v>
      </c>
      <c r="I136" s="17">
        <f>'Datos Actividad'!$Y132*'FE Sectorial'!$H135*'FE Sectorial'!J135/1000/1000</f>
        <v>33.845047058823525</v>
      </c>
      <c r="J136" s="17">
        <f>'Datos Actividad'!$Y132*'FE Sectorial'!$H135*'FE Sectorial'!K135/1000/1000</f>
        <v>6.7690094117647046</v>
      </c>
      <c r="K136" s="17">
        <f>'Datos Actividad'!$Y132*'FE Sectorial'!$H135*'FE Sectorial'!L135/1000/1000</f>
        <v>1128.1682352941173</v>
      </c>
      <c r="L136" s="17">
        <f>'Datos Actividad'!$Y132*'FE Sectorial'!$H135*'FE Sectorial'!M135/1000/1000</f>
        <v>225.63364705882347</v>
      </c>
      <c r="M136" s="17">
        <f>'Datos Actividad'!$Y132*'FE Sectorial'!$H135*'FE Sectorial'!N135/1000/1000</f>
        <v>56.408411764705868</v>
      </c>
      <c r="N136" s="17">
        <f>'Datos Actividad'!$Y132*'FE Sectorial'!$H135*'FE Sectorial'!O135/1000/1000</f>
        <v>409.28894117647053</v>
      </c>
      <c r="O136" s="87">
        <f>IF(D136&lt;400,H136+I136*'Factores generales'!$M$41+J136*'Factores generales'!$N$41,I136*'Factores generales'!$M$41+J136*'Factores generales'!$N$41)</f>
        <v>830422.0746352938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Actividad'!$Y133*'FE Sectorial'!$H136*'FE Sectorial'!I136*'FE Sectorial'!P136/1000</f>
        <v>29254.274280000009</v>
      </c>
      <c r="I137" s="17">
        <f>'Datos Actividad'!$Y133*'FE Sectorial'!$H136*'FE Sectorial'!J136/1000/1000</f>
        <v>1.1453400000000002</v>
      </c>
      <c r="J137" s="17">
        <f>'Datos Actividad'!$Y133*'FE Sectorial'!$H136*'FE Sectorial'!K136/1000/1000</f>
        <v>0.22906800000000005</v>
      </c>
      <c r="K137" s="17">
        <f>'Datos Actividad'!$Y133*'FE Sectorial'!$H136*'FE Sectorial'!L136/1000/1000</f>
        <v>38.178000000000004</v>
      </c>
      <c r="L137" s="17">
        <f>'Datos Actividad'!$Y133*'FE Sectorial'!$H136*'FE Sectorial'!M136/1000/1000</f>
        <v>7.6356000000000011</v>
      </c>
      <c r="M137" s="17">
        <f>'Datos Actividad'!$Y133*'FE Sectorial'!$H136*'FE Sectorial'!N136/1000/1000</f>
        <v>1.9089000000000003</v>
      </c>
      <c r="N137" s="17">
        <f>'Datos Actividad'!$Y133*'FE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12998729.596096214</v>
      </c>
      <c r="I138" s="134">
        <f>SUM(I139:I144)</f>
        <v>2084.1937675063173</v>
      </c>
      <c r="J138" s="134">
        <f t="shared" ref="J138:O138" si="38">SUM(J139:J144)</f>
        <v>117.46123985742787</v>
      </c>
      <c r="K138" s="134">
        <f t="shared" si="38"/>
        <v>34796.194834685462</v>
      </c>
      <c r="L138" s="134">
        <f t="shared" si="38"/>
        <v>132256.36769570422</v>
      </c>
      <c r="M138" s="134">
        <f t="shared" si="38"/>
        <v>10581.303400638382</v>
      </c>
      <c r="N138" s="134">
        <f t="shared" si="38"/>
        <v>4717.3792472403247</v>
      </c>
      <c r="O138" s="134">
        <f t="shared" si="38"/>
        <v>13078910.649569651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Actividad'!$Y135*'FE Sectorial'!$H138*'FE Sectorial'!I138*'FE Sectorial'!P138/1000</f>
        <v>1424299.9680000001</v>
      </c>
      <c r="I139" s="17">
        <f>'Datos Actividad'!$Y135*'FE Sectorial'!$H138*'FE Sectorial'!J138/1000/1000</f>
        <v>438.51600000000002</v>
      </c>
      <c r="J139" s="17">
        <f>'Datos Actividad'!$Y135*'FE Sectorial'!$H138*'FE Sectorial'!K138/1000/1000</f>
        <v>58.468800000000002</v>
      </c>
      <c r="K139" s="17">
        <f>'Datos Actividad'!$Y135*'FE Sectorial'!$H138*'FE Sectorial'!L138/1000/1000</f>
        <v>1461.72</v>
      </c>
      <c r="L139" s="17">
        <f>'Datos Actividad'!$Y135*'FE Sectorial'!$H138*'FE Sectorial'!M138/1000/1000</f>
        <v>73086</v>
      </c>
      <c r="M139" s="17">
        <f>'Datos Actividad'!$Y135*'FE Sectorial'!$H138*'FE Sectorial'!N138/1000/1000</f>
        <v>8770.32</v>
      </c>
      <c r="N139" s="17">
        <f>'Datos Actividad'!$Y135*'FE Sectorial'!$H138*'FE Sectorial'!O138/1000/1000</f>
        <v>3748</v>
      </c>
      <c r="O139" s="87">
        <f>IF(D139&lt;400,H139+I139*'Factores generales'!$M$41+J139*'Factores generales'!$N$41,I139*'Factores generales'!$M$41+J139*'Factores generales'!$N$41)</f>
        <v>27334.164000000004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Actividad'!$Y136*'FE Sectorial'!$H139*'FE Sectorial'!I139*'FE Sectorial'!P139/1000</f>
        <v>0</v>
      </c>
      <c r="I140" s="17">
        <f>'Datos Actividad'!$Y136*'FE Sectorial'!$H139*'FE Sectorial'!J139/1000/1000</f>
        <v>0</v>
      </c>
      <c r="J140" s="17">
        <f>'Datos Actividad'!$Y136*'FE Sectorial'!$H139*'FE Sectorial'!K139/1000/1000</f>
        <v>0</v>
      </c>
      <c r="K140" s="17">
        <f>'Datos Actividad'!$Y136*'FE Sectorial'!$H139*'FE Sectorial'!L139/1000/1000</f>
        <v>0</v>
      </c>
      <c r="L140" s="17">
        <f>'Datos Actividad'!$Y136*'FE Sectorial'!$H139*'FE Sectorial'!M139/1000/1000</f>
        <v>0</v>
      </c>
      <c r="M140" s="17">
        <f>'Datos Actividad'!$Y136*'FE Sectorial'!$H139*'FE Sectorial'!N139/1000/1000</f>
        <v>0</v>
      </c>
      <c r="N140" s="17">
        <f>'Datos Actividad'!$Y136*'FE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Actividad'!$Y137*'FE Sectorial'!$H140*'FE Sectorial'!I140*'FE Sectorial'!P140/1000</f>
        <v>9352878.7453199998</v>
      </c>
      <c r="I141" s="17">
        <f>'Datos Actividad'!$Y137*'FE Sectorial'!$H140*'FE Sectorial'!J140/1000/1000</f>
        <v>167.55576000000002</v>
      </c>
      <c r="J141" s="17">
        <f>'Datos Actividad'!$Y137*'FE Sectorial'!$H140*'FE Sectorial'!K140/1000/1000</f>
        <v>16.755576000000001</v>
      </c>
      <c r="K141" s="17">
        <f>'Datos Actividad'!$Y137*'FE Sectorial'!$H140*'FE Sectorial'!L140/1000/1000</f>
        <v>25133.364000000001</v>
      </c>
      <c r="L141" s="17">
        <f>'Datos Actividad'!$Y137*'FE Sectorial'!$H140*'FE Sectorial'!M140/1000/1000</f>
        <v>8377.7880000000005</v>
      </c>
      <c r="M141" s="17">
        <f>'Datos Actividad'!$Y137*'FE Sectorial'!$H140*'FE Sectorial'!N140/1000/1000</f>
        <v>837.77880000000005</v>
      </c>
      <c r="N141" s="17">
        <f>'Datos Actividad'!$Y137*'FE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9361591.6448400002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Actividad'!$Y138*'FE Sectorial'!$H141*'FE Sectorial'!I141*'FE Sectorial'!P141/1000</f>
        <v>2384777.5907276706</v>
      </c>
      <c r="I142" s="17">
        <f>'Datos Actividad'!$Y138*'FE Sectorial'!$H141*'FE Sectorial'!J141/1000/1000</f>
        <v>38.175376438356153</v>
      </c>
      <c r="J142" s="17">
        <f>'Datos Actividad'!$Y138*'FE Sectorial'!$H141*'FE Sectorial'!K141/1000/1000</f>
        <v>3.8175376438356152</v>
      </c>
      <c r="K142" s="17">
        <f>'Datos Actividad'!$Y138*'FE Sectorial'!$H141*'FE Sectorial'!L141/1000/1000</f>
        <v>5726.3064657534233</v>
      </c>
      <c r="L142" s="17">
        <f>'Datos Actividad'!$Y138*'FE Sectorial'!$H141*'FE Sectorial'!M141/1000/1000</f>
        <v>1908.7688219178076</v>
      </c>
      <c r="M142" s="17">
        <f>'Datos Actividad'!$Y138*'FE Sectorial'!$H141*'FE Sectorial'!N141/1000/1000</f>
        <v>190.87688219178079</v>
      </c>
      <c r="N142" s="17">
        <f>'Datos Actividad'!$Y138*'FE Sectorial'!$H141*'FE Sectorial'!O141/1000/1000</f>
        <v>161.4180821917808</v>
      </c>
      <c r="O142" s="87">
        <f>IF(D142&lt;400,H142+I142*'Factores generales'!$M$41+J142*'Factores generales'!$N$41,I142*'Factores generales'!$M$41+J142*'Factores generales'!$N$41)</f>
        <v>2386762.7103024651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Actividad'!$Y139*'FE Sectorial'!$H142*'FE Sectorial'!I142*'FE Sectorial'!P142/1000</f>
        <v>1261073.2600485438</v>
      </c>
      <c r="I143" s="17">
        <f>'Datos Actividad'!$Y139*'FE Sectorial'!$H142*'FE Sectorial'!J142/1000/1000</f>
        <v>53.446631067961171</v>
      </c>
      <c r="J143" s="17">
        <f>'Datos Actividad'!$Y139*'FE Sectorial'!$H142*'FE Sectorial'!K142/1000/1000</f>
        <v>10.689326213592233</v>
      </c>
      <c r="K143" s="17">
        <f>'Datos Actividad'!$Y139*'FE Sectorial'!$H142*'FE Sectorial'!L142/1000/1000</f>
        <v>1781.5543689320391</v>
      </c>
      <c r="L143" s="17">
        <f>'Datos Actividad'!$Y139*'FE Sectorial'!$H142*'FE Sectorial'!M142/1000/1000</f>
        <v>356.31087378640774</v>
      </c>
      <c r="M143" s="17">
        <f>'Datos Actividad'!$Y139*'FE Sectorial'!$H142*'FE Sectorial'!N142/1000/1000</f>
        <v>89.077718446601935</v>
      </c>
      <c r="N143" s="17">
        <f>'Datos Actividad'!$Y139*'FE Sectorial'!$H142*'FE Sectorial'!O142/1000/1000</f>
        <v>807.96116504854376</v>
      </c>
      <c r="O143" s="87">
        <f>IF(D143&lt;400,H143+I143*'Factores generales'!$M$41+J143*'Factores generales'!$N$41,I143*'Factores generales'!$M$41+J143*'Factores generales'!$N$41)</f>
        <v>1265509.3304271847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Actividad'!$Y140*'FE Sectorial'!$H143*'FE Sectorial'!I143*'FE Sectorial'!P143/1000</f>
        <v>675502.8</v>
      </c>
      <c r="I144" s="17">
        <f>'Datos Actividad'!$Y140*'FE Sectorial'!$H143*'FE Sectorial'!J143/1000/1000</f>
        <v>1386.5</v>
      </c>
      <c r="J144" s="17">
        <f>'Datos Actividad'!$Y140*'FE Sectorial'!$H143*'FE Sectorial'!K143/1000/1000</f>
        <v>27.73</v>
      </c>
      <c r="K144" s="17">
        <f>'Datos Actividad'!$Y140*'FE Sectorial'!$H143*'FE Sectorial'!L143/1000/1000</f>
        <v>693.25</v>
      </c>
      <c r="L144" s="17">
        <f>'Datos Actividad'!$Y140*'FE Sectorial'!$H143*'FE Sectorial'!M143/1000/1000</f>
        <v>48527.5</v>
      </c>
      <c r="M144" s="17">
        <f>'Datos Actividad'!$Y140*'FE Sectorial'!$H143*'FE Sectorial'!N143/1000/1000</f>
        <v>693.25</v>
      </c>
      <c r="N144" s="17">
        <f>'Datos Actividad'!$Y140*'FE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37712.800000000003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5650153.3323529409</v>
      </c>
      <c r="I145" s="134">
        <f t="shared" ref="I145:O145" si="39">SUM(I146:I149)</f>
        <v>231.06176470588238</v>
      </c>
      <c r="J145" s="134">
        <f t="shared" si="39"/>
        <v>46.212352941176469</v>
      </c>
      <c r="K145" s="134">
        <f t="shared" si="39"/>
        <v>92424.705882352937</v>
      </c>
      <c r="L145" s="134">
        <f t="shared" si="39"/>
        <v>77020.588235294112</v>
      </c>
      <c r="M145" s="134">
        <f t="shared" si="39"/>
        <v>15404.117647058823</v>
      </c>
      <c r="N145" s="134">
        <f t="shared" si="39"/>
        <v>2794.2352941176473</v>
      </c>
      <c r="O145" s="134">
        <f t="shared" si="39"/>
        <v>5669331.4588235291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Actividad'!$Y142*'FE Sectorial'!$H145*'FE Sectorial'!I145*'FE Sectorial'!P145/1000</f>
        <v>0</v>
      </c>
      <c r="I146" s="17">
        <f>'Datos Actividad'!$Y142*'FE Sectorial'!$H145*'FE Sectorial'!J145/1000/1000</f>
        <v>0</v>
      </c>
      <c r="J146" s="17">
        <f>'Datos Actividad'!$Y142*'FE Sectorial'!$H145*'FE Sectorial'!K145/1000/1000</f>
        <v>0</v>
      </c>
      <c r="K146" s="17">
        <f>'Datos Actividad'!$Y142*'FE Sectorial'!$H145*'FE Sectorial'!L145/1000/1000</f>
        <v>0</v>
      </c>
      <c r="L146" s="17">
        <f>'Datos Actividad'!$Y142*'FE Sectorial'!$H145*'FE Sectorial'!M145/1000/1000</f>
        <v>0</v>
      </c>
      <c r="M146" s="17">
        <f>'Datos Actividad'!$Y142*'FE Sectorial'!$H145*'FE Sectorial'!N145/1000/1000</f>
        <v>0</v>
      </c>
      <c r="N146" s="17">
        <f>'Datos Actividad'!$Y142*'FE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Actividad'!$Y143*'FE Sectorial'!$H146*'FE Sectorial'!I146*'FE Sectorial'!P146/1000</f>
        <v>0</v>
      </c>
      <c r="I147" s="17">
        <f>'Datos Actividad'!$Y143*'FE Sectorial'!$H146*'FE Sectorial'!J146/1000/1000</f>
        <v>0</v>
      </c>
      <c r="J147" s="17">
        <f>'Datos Actividad'!$Y143*'FE Sectorial'!$H146*'FE Sectorial'!K146/1000/1000</f>
        <v>0</v>
      </c>
      <c r="K147" s="17">
        <f>'Datos Actividad'!$Y143*'FE Sectorial'!$H146*'FE Sectorial'!L146/1000/1000</f>
        <v>0</v>
      </c>
      <c r="L147" s="17">
        <f>'Datos Actividad'!$Y143*'FE Sectorial'!$H146*'FE Sectorial'!M146/1000/1000</f>
        <v>0</v>
      </c>
      <c r="M147" s="17">
        <f>'Datos Actividad'!$Y143*'FE Sectorial'!$H146*'FE Sectorial'!N146/1000/1000</f>
        <v>0</v>
      </c>
      <c r="N147" s="17">
        <f>'Datos Actividad'!$Y143*'FE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Actividad'!$Y144*'FE Sectorial'!$H147*'FE Sectorial'!I147*'FE Sectorial'!P147/1000</f>
        <v>5650153.3323529409</v>
      </c>
      <c r="I148" s="17">
        <f>'Datos Actividad'!$Y144*'FE Sectorial'!$H147*'FE Sectorial'!J147/1000/1000</f>
        <v>231.06176470588238</v>
      </c>
      <c r="J148" s="17">
        <f>'Datos Actividad'!$Y144*'FE Sectorial'!$H147*'FE Sectorial'!K147/1000/1000</f>
        <v>46.212352941176469</v>
      </c>
      <c r="K148" s="17">
        <f>'Datos Actividad'!$Y144*'FE Sectorial'!$H147*'FE Sectorial'!L147/1000/1000</f>
        <v>92424.705882352937</v>
      </c>
      <c r="L148" s="17">
        <f>'Datos Actividad'!$Y144*'FE Sectorial'!$H147*'FE Sectorial'!M147/1000/1000</f>
        <v>77020.588235294112</v>
      </c>
      <c r="M148" s="17">
        <f>'Datos Actividad'!$Y144*'FE Sectorial'!$H147*'FE Sectorial'!N147/1000/1000</f>
        <v>15404.117647058823</v>
      </c>
      <c r="N148" s="17">
        <f>'Datos Actividad'!$Y144*'FE Sectorial'!$H147*'FE Sectorial'!O147/1000/1000</f>
        <v>2794.2352941176473</v>
      </c>
      <c r="O148" s="87">
        <f>IF(D148&lt;400,H148+I148*'Factores generales'!$M$41+J148*'Factores generales'!$N$41,I148*'Factores generales'!$M$41+J148*'Factores generales'!$N$41)</f>
        <v>5669331.4588235291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Actividad'!$Y145*'FE Sectorial'!$H148*'FE Sectorial'!I148*'FE Sectorial'!P148/1000</f>
        <v>0</v>
      </c>
      <c r="I149" s="17">
        <f>'Datos Actividad'!$Y145*'FE Sectorial'!$H148*'FE Sectorial'!J148/1000/1000</f>
        <v>0</v>
      </c>
      <c r="J149" s="17">
        <f>'Datos Actividad'!$Y145*'FE Sectorial'!$H148*'FE Sectorial'!K148/1000/1000</f>
        <v>0</v>
      </c>
      <c r="K149" s="17">
        <f>'Datos Actividad'!$Y145*'FE Sectorial'!$H148*'FE Sectorial'!L148/1000/1000</f>
        <v>0</v>
      </c>
      <c r="L149" s="17">
        <f>'Datos Actividad'!$Y145*'FE Sectorial'!$H148*'FE Sectorial'!M148/1000/1000</f>
        <v>0</v>
      </c>
      <c r="M149" s="17">
        <f>'Datos Actividad'!$Y145*'FE Sectorial'!$H148*'FE Sectorial'!N148/1000/1000</f>
        <v>0</v>
      </c>
      <c r="N149" s="17">
        <f>'Datos Actividad'!$Y145*'FE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Actividad'!$Y147*'FE Sectorial'!$H150*'FE Sectorial'!I150*'FE Sectorial'!P150/1000</f>
        <v>0</v>
      </c>
      <c r="I151" s="134">
        <f>'Datos Actividad'!$Y147*'FE Sectorial'!$H150*'FE Sectorial'!J150/1000/1000</f>
        <v>0</v>
      </c>
      <c r="J151" s="134">
        <f>'Datos Actividad'!$Y147*'FE Sectorial'!$H150*'FE Sectorial'!K150/1000/1000</f>
        <v>0</v>
      </c>
      <c r="K151" s="134">
        <f>'Datos Actividad'!$Y147*'FE Sectorial'!$H150*'FE Sectorial'!L150/1000/1000</f>
        <v>0</v>
      </c>
      <c r="L151" s="134">
        <f>'Datos Actividad'!$Y147*'FE Sectorial'!$H150*'FE Sectorial'!M150/1000/1000</f>
        <v>0</v>
      </c>
      <c r="M151" s="134">
        <f>'Datos Actividad'!$Y147*'FE Sectorial'!$H150*'FE Sectorial'!N150/1000/1000</f>
        <v>0</v>
      </c>
      <c r="N151" s="134">
        <f>'Datos Actividad'!$Y147*'FE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Actividad'!$Y148*'FE Sectorial'!$H151*'FE Sectorial'!I151*'FE Sectorial'!P151/1000</f>
        <v>0</v>
      </c>
      <c r="I152" s="134">
        <f>'Datos Actividad'!$Y148*'FE Sectorial'!$H151*'FE Sectorial'!J151/1000/1000</f>
        <v>0</v>
      </c>
      <c r="J152" s="134">
        <f>'Datos Actividad'!$Y148*'FE Sectorial'!$H151*'FE Sectorial'!K151/1000/1000</f>
        <v>0</v>
      </c>
      <c r="K152" s="134">
        <f>'Datos Actividad'!$Y148*'FE Sectorial'!$H151*'FE Sectorial'!L151/1000/1000</f>
        <v>0</v>
      </c>
      <c r="L152" s="134">
        <f>'Datos Actividad'!$Y148*'FE Sectorial'!$H151*'FE Sectorial'!M151/1000/1000</f>
        <v>0</v>
      </c>
      <c r="M152" s="134">
        <f>'Datos Actividad'!$Y148*'FE Sectorial'!$H151*'FE Sectorial'!N151/1000/1000</f>
        <v>0</v>
      </c>
      <c r="N152" s="134">
        <f>'Datos Actividad'!$Y148*'FE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3244331.1131255133</v>
      </c>
      <c r="I153" s="124">
        <f t="shared" ref="I153:N153" si="41">I154+I168</f>
        <v>210792.49574228795</v>
      </c>
      <c r="J153" s="124">
        <f t="shared" si="41"/>
        <v>25.961521686154665</v>
      </c>
      <c r="K153" s="124">
        <f t="shared" si="41"/>
        <v>1419.2565954738402</v>
      </c>
      <c r="L153" s="124">
        <f t="shared" si="41"/>
        <v>2270.8026400000003</v>
      </c>
      <c r="M153" s="124">
        <f t="shared" si="41"/>
        <v>97453.238969740501</v>
      </c>
      <c r="N153" s="124">
        <f t="shared" si="41"/>
        <v>22708.026400000002</v>
      </c>
      <c r="O153" s="124">
        <f>IF(D153&lt;400,H153+I153*'Factores generales'!$M$41+J153*'Factores generales'!$N$41,I153*'Factores generales'!$M$41+J153*'Factores generales'!$N$41)</f>
        <v>7679021.5954362676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3244331.1131255133</v>
      </c>
      <c r="I168" s="129">
        <f t="shared" ref="I168:O168" si="44">I169+I188+I204</f>
        <v>208080.9043619289</v>
      </c>
      <c r="J168" s="129">
        <f t="shared" si="44"/>
        <v>25.961521686154665</v>
      </c>
      <c r="K168" s="129">
        <f t="shared" si="44"/>
        <v>1419.2565954738402</v>
      </c>
      <c r="L168" s="129">
        <f t="shared" si="44"/>
        <v>2270.8026400000003</v>
      </c>
      <c r="M168" s="129">
        <f t="shared" si="44"/>
        <v>97453.238969740501</v>
      </c>
      <c r="N168" s="129">
        <f t="shared" si="44"/>
        <v>22708.026400000002</v>
      </c>
      <c r="O168" s="129">
        <f t="shared" si="44"/>
        <v>7622078.176448727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25981.144567658252</v>
      </c>
      <c r="I169" s="134">
        <f t="shared" ref="I169:O169" si="45">SUM(I170:I187)</f>
        <v>11046.880269078931</v>
      </c>
      <c r="J169" s="134">
        <f t="shared" si="45"/>
        <v>0.17886630985179969</v>
      </c>
      <c r="K169" s="134">
        <f t="shared" si="45"/>
        <v>1419.2565954738402</v>
      </c>
      <c r="L169" s="134">
        <f t="shared" si="45"/>
        <v>2270.8026400000003</v>
      </c>
      <c r="M169" s="134">
        <f t="shared" si="45"/>
        <v>65949.504067498157</v>
      </c>
      <c r="N169" s="134">
        <f t="shared" si="45"/>
        <v>22708.026400000002</v>
      </c>
      <c r="O169" s="134">
        <f t="shared" si="45"/>
        <v>258021.07877436985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Actividad'!$Y167*'FE Sectorial'!I170*1000</f>
        <v>1040.548715913988</v>
      </c>
      <c r="I171" s="92">
        <f>'Datos Actividad'!$Y167*'FE Sectorial'!J170*1000</f>
        <v>22.095351630969159</v>
      </c>
      <c r="J171" s="92">
        <f>'Datos Actividad'!$Y167*'FE Sectorial'!K170*1000</f>
        <v>7.6578848254593122E-3</v>
      </c>
      <c r="K171" s="92">
        <f>'Datos Actividad'!$Y167*'FE Sectorial'!L170*1000</f>
        <v>0</v>
      </c>
      <c r="L171" s="92">
        <f>'Datos Actividad'!$Y167*'FE Sectorial'!M170*1000</f>
        <v>0</v>
      </c>
      <c r="M171" s="92">
        <f>'Datos Actividad'!$Y167*'FE Sectorial'!N170*1000</f>
        <v>3.4046607412143932</v>
      </c>
      <c r="N171" s="92">
        <f>'Datos Actividad'!$Y167*'FE Sectorial'!O170*1000</f>
        <v>0</v>
      </c>
      <c r="O171" s="87">
        <f>IF(D171&lt;400,H171+I171*'Factores generales'!$M$41+J171*'Factores generales'!$N$41,I171*'Factores generales'!$M$41+J171*'Factores generales'!$N$41)</f>
        <v>1506.9250444602328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Actividad'!$Y168*'FE Sectorial'!I171*1000</f>
        <v>4050.7075012365963</v>
      </c>
      <c r="I172" s="92">
        <f>'Datos Actividad'!$Y168*'FE Sectorial'!J171*1000</f>
        <v>86.014047420558512</v>
      </c>
      <c r="J172" s="92">
        <f>'Datos Actividad'!$Y168*'FE Sectorial'!K171*1000</f>
        <v>2.981105164196661E-2</v>
      </c>
      <c r="K172" s="92">
        <f>'Datos Actividad'!$Y168*'FE Sectorial'!L171*1000</f>
        <v>0</v>
      </c>
      <c r="L172" s="92">
        <f>'Datos Actividad'!$Y168*'FE Sectorial'!M171*1000</f>
        <v>0</v>
      </c>
      <c r="M172" s="92">
        <f>'Datos Actividad'!$Y168*'FE Sectorial'!N171*1000</f>
        <v>13.253857885441745</v>
      </c>
      <c r="N172" s="92">
        <f>'Datos Actividad'!$Y168*'FE Sectorial'!O171*1000</f>
        <v>0</v>
      </c>
      <c r="O172" s="87">
        <f>IF(D172&lt;400,H172+I172*'Factores generales'!$M$41+J172*'Factores generales'!$N$41,I172*'Factores generales'!$M$41+J172*'Factores generales'!$N$41)</f>
        <v>5866.2439230773352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Actividad'!$Y169*'FE Sectorial'!I172*1000</f>
        <v>19212.988790268992</v>
      </c>
      <c r="I173" s="92">
        <f>'Datos Actividad'!$Y169*'FE Sectorial'!J172*1000</f>
        <v>407.97488547182343</v>
      </c>
      <c r="J173" s="92">
        <f>'Datos Actividad'!$Y169*'FE Sectorial'!K172*1000</f>
        <v>0.14139737338437375</v>
      </c>
      <c r="K173" s="92">
        <f>'Datos Actividad'!$Y169*'FE Sectorial'!L172*1000</f>
        <v>0</v>
      </c>
      <c r="L173" s="92">
        <f>'Datos Actividad'!$Y169*'FE Sectorial'!M172*1000</f>
        <v>0</v>
      </c>
      <c r="M173" s="92">
        <f>'Datos Actividad'!$Y169*'FE Sectorial'!N172*1000</f>
        <v>62.864628685994333</v>
      </c>
      <c r="N173" s="92">
        <f>'Datos Actividad'!$Y169*'FE Sectorial'!O172*1000</f>
        <v>0</v>
      </c>
      <c r="O173" s="87">
        <f>IF(D173&lt;400,H173+I173*'Factores generales'!$M$41+J173*'Factores generales'!$N$41,I173*'Factores generales'!$M$41+J173*'Factores generales'!$N$41)</f>
        <v>27824.294570926439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Actividad'!$Y171*'FE Sectorial'!I174</f>
        <v>701.30638636330207</v>
      </c>
      <c r="I175" s="92">
        <f>'Datos Actividad'!$Y171*'FE Sectorial'!J174</f>
        <v>9673.8305999999993</v>
      </c>
      <c r="J175" s="92">
        <f>'Datos Actividad'!$Y171*'FE Sectorial'!K174</f>
        <v>0</v>
      </c>
      <c r="K175" s="92">
        <f>'Datos Actividad'!$Y171*'FE Sectorial'!L174</f>
        <v>0</v>
      </c>
      <c r="L175" s="92">
        <f>'Datos Actividad'!$Y171*'FE Sectorial'!M174</f>
        <v>0</v>
      </c>
      <c r="M175" s="92">
        <f>'Datos Actividad'!$Y171*'FE Sectorial'!N174</f>
        <v>11847.97441406102</v>
      </c>
      <c r="N175" s="92">
        <f>'Datos Actividad'!$Y171*'FE Sectorial'!O174</f>
        <v>0</v>
      </c>
      <c r="O175" s="87">
        <f>IF(D175&lt;400,H175+I175*'Factores generales'!$M$41+J175*'Factores generales'!$N$41,I175*'Factores generales'!$M$41+J175*'Factores generales'!$N$41)</f>
        <v>203851.74898636329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Actividad'!$Y173*'FE Sectorial'!I176</f>
        <v>0</v>
      </c>
      <c r="I177" s="92">
        <f>'Datos Actividad'!$Y173*'FE Sectorial'!J176</f>
        <v>388.33252754276253</v>
      </c>
      <c r="J177" s="92">
        <f>'Datos Actividad'!$Y173*'FE Sectorial'!K176</f>
        <v>0</v>
      </c>
      <c r="K177" s="92">
        <f>'Datos Actividad'!$Y173*'FE Sectorial'!L176</f>
        <v>0</v>
      </c>
      <c r="L177" s="92">
        <f>'Datos Actividad'!$Y173*'FE Sectorial'!M176</f>
        <v>0</v>
      </c>
      <c r="M177" s="92">
        <f>'Datos Actividad'!$Y173*'FE Sectorial'!N176</f>
        <v>0</v>
      </c>
      <c r="N177" s="92">
        <f>'Datos Actividad'!$Y173*'FE Sectorial'!O176</f>
        <v>0</v>
      </c>
      <c r="O177" s="87">
        <f>IF(D177&lt;400,H177+I177*'Factores generales'!$M$41+J177*'Factores generales'!$N$41,I177*'Factores generales'!$M$41+J177*'Factores generales'!$N$41)</f>
        <v>8154.9830783980133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Actividad'!$Y174*'FE Sectorial'!I177</f>
        <v>8.9778324299999994</v>
      </c>
      <c r="I178" s="92">
        <f>'Datos Actividad'!$Y174*'FE Sectorial'!J177</f>
        <v>98.939377800000003</v>
      </c>
      <c r="J178" s="92">
        <f>'Datos Actividad'!$Y174*'FE Sectorial'!K177</f>
        <v>0</v>
      </c>
      <c r="K178" s="92">
        <f>'Datos Actividad'!$Y174*'FE Sectorial'!L177</f>
        <v>0</v>
      </c>
      <c r="L178" s="92">
        <f>'Datos Actividad'!$Y174*'FE Sectorial'!M177</f>
        <v>0</v>
      </c>
      <c r="M178" s="92">
        <f>'Datos Actividad'!$Y174*'FE Sectorial'!N177</f>
        <v>989.39377800000011</v>
      </c>
      <c r="N178" s="92">
        <f>'Datos Actividad'!$Y174*'FE Sectorial'!O177</f>
        <v>0</v>
      </c>
      <c r="O178" s="87">
        <f>IF(D178&lt;400,H178+I178*'Factores generales'!$M$41+J178*'Factores generales'!$N$41,I178*'Factores generales'!$M$41+J178*'Factores generales'!$N$41)</f>
        <v>2086.7047662300001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Actividad'!$Y177*'FE Sectorial'!I180</f>
        <v>0</v>
      </c>
      <c r="I181" s="92">
        <f>'Datos Actividad'!$Y177*'FE Sectorial'!J180</f>
        <v>293.06773362248884</v>
      </c>
      <c r="J181" s="92">
        <f>'Datos Actividad'!$Y177*'FE Sectorial'!K180</f>
        <v>0</v>
      </c>
      <c r="K181" s="92">
        <f>'Datos Actividad'!$Y177*'FE Sectorial'!L180</f>
        <v>1419.2516500000002</v>
      </c>
      <c r="L181" s="92">
        <f>'Datos Actividad'!$Y177*'FE Sectorial'!M180</f>
        <v>2270.8026400000003</v>
      </c>
      <c r="M181" s="92">
        <f>'Datos Actividad'!$Y177*'FE Sectorial'!N180</f>
        <v>36900.5429</v>
      </c>
      <c r="N181" s="92">
        <f>'Datos Actividad'!$Y177*'FE Sectorial'!O180</f>
        <v>22708.026400000002</v>
      </c>
      <c r="O181" s="87">
        <f>IF(D181&lt;400,H181+I181*'Factores generales'!$M$41+J181*'Factores generales'!$N$41,I181*'Factores generales'!$M$41+J181*'Factores generales'!$N$41)</f>
        <v>6154.4224060722654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Actividad'!$Y179*'FE Sectorial'!I182</f>
        <v>0</v>
      </c>
      <c r="I183" s="92">
        <f>'Datos Actividad'!$Y179*'FE Sectorial'!J182</f>
        <v>76.625745590329046</v>
      </c>
      <c r="J183" s="92">
        <f>'Datos Actividad'!$Y179*'FE Sectorial'!K182</f>
        <v>0</v>
      </c>
      <c r="K183" s="92">
        <f>'Datos Actividad'!$Y179*'FE Sectorial'!L182</f>
        <v>0</v>
      </c>
      <c r="L183" s="92">
        <f>'Datos Actividad'!$Y179*'FE Sectorial'!M182</f>
        <v>0</v>
      </c>
      <c r="M183" s="92">
        <f>'Datos Actividad'!$Y179*'FE Sectorial'!N182</f>
        <v>0</v>
      </c>
      <c r="N183" s="92">
        <f>'Datos Actividad'!$Y179*'FE Sectorial'!O182</f>
        <v>0</v>
      </c>
      <c r="O183" s="87">
        <f>IF(D183&lt;400,H183+I183*'Factores generales'!$M$41+J183*'Factores generales'!$N$41,I183*'Factores generales'!$M$41+J183*'Factores generales'!$N$41)</f>
        <v>1609.14065739691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Actividad'!$Y181*'FE Sectorial'!I184</f>
        <v>0</v>
      </c>
      <c r="I185" s="92">
        <f>'Datos Actividad'!$Y181*'FE Sectorial'!J184</f>
        <v>0</v>
      </c>
      <c r="J185" s="92">
        <f>'Datos Actividad'!$Y181*'FE Sectorial'!K184</f>
        <v>0</v>
      </c>
      <c r="K185" s="92">
        <f>'Datos Actividad'!$Y181*'FE Sectorial'!L184</f>
        <v>0</v>
      </c>
      <c r="L185" s="92">
        <f>'Datos Actividad'!$Y181*'FE Sectorial'!M184</f>
        <v>0</v>
      </c>
      <c r="M185" s="92">
        <f>'Datos Actividad'!$Y181*'FE Sectorial'!N184</f>
        <v>16132.069828124486</v>
      </c>
      <c r="N185" s="92">
        <f>'Datos Actividad'!$Y181*'FE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Actividad'!$Y182*'FE Sectorial'!I185</f>
        <v>966.6153414453712</v>
      </c>
      <c r="I186" s="92">
        <f>'Datos Actividad'!$Y182*'FE Sectorial'!J185</f>
        <v>0</v>
      </c>
      <c r="J186" s="92">
        <f>'Datos Actividad'!$Y182*'FE Sectorial'!K185</f>
        <v>0</v>
      </c>
      <c r="K186" s="92">
        <f>'Datos Actividad'!$Y182*'FE Sectorial'!L185</f>
        <v>4.9454738399530625E-3</v>
      </c>
      <c r="L186" s="92">
        <f>'Datos Actividad'!$Y182*'FE Sectorial'!M185</f>
        <v>0</v>
      </c>
      <c r="M186" s="92">
        <f>'Datos Actividad'!$Y182*'FE Sectorial'!N185</f>
        <v>0</v>
      </c>
      <c r="N186" s="92">
        <f>'Datos Actividad'!$Y182*'FE Sectorial'!O185</f>
        <v>0</v>
      </c>
      <c r="O186" s="87">
        <f>IF(D186&lt;400,H186+I186*'Factores generales'!$M$41+J186*'Factores generales'!$N$41,I186*'Factores generales'!$M$41+J186*'Factores generales'!$N$41)</f>
        <v>966.6153414453712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3282.1987945606566</v>
      </c>
      <c r="I188" s="134">
        <f t="shared" ref="I188:O188" si="46">SUM(I189:I203)</f>
        <v>164938.82124828701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14249.131388683656</v>
      </c>
      <c r="N188" s="134">
        <f t="shared" si="46"/>
        <v>0</v>
      </c>
      <c r="O188" s="134">
        <f t="shared" si="46"/>
        <v>3466997.4450085876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Actividad'!$Y187*'FE Sectorial'!I190</f>
        <v>1257.130048816982</v>
      </c>
      <c r="I191" s="92">
        <f>'Datos Actividad'!$Y187*'FE Sectorial'!J190</f>
        <v>75627.084129497729</v>
      </c>
      <c r="J191" s="92">
        <f>'Datos Actividad'!$Y187*'FE Sectorial'!K190</f>
        <v>0</v>
      </c>
      <c r="K191" s="92">
        <f>'Datos Actividad'!$Y187*'FE Sectorial'!L190</f>
        <v>0</v>
      </c>
      <c r="L191" s="92">
        <f>'Datos Actividad'!$Y187*'FE Sectorial'!M190</f>
        <v>0</v>
      </c>
      <c r="M191" s="92">
        <f>'Datos Actividad'!$Y187*'FE Sectorial'!N190</f>
        <v>8275.4430848750017</v>
      </c>
      <c r="N191" s="92">
        <f>'Datos Actividad'!$Y187*'FE Sectorial'!O190</f>
        <v>0</v>
      </c>
      <c r="O191" s="87">
        <f>IF(D191&lt;400,H191+I191*'Factores generales'!$M$41+J191*'Factores generales'!$N$41,I191*'Factores generales'!$M$41+J191*'Factores generales'!$N$41)</f>
        <v>1589425.8967682694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Actividad'!$Y189*'FE Sectorial'!I192</f>
        <v>459.03899030308781</v>
      </c>
      <c r="I193" s="92">
        <f>'Datos Actividad'!$Y189*'FE Sectorial'!J192</f>
        <v>5737.987378788599</v>
      </c>
      <c r="J193" s="92">
        <f>'Datos Actividad'!$Y189*'FE Sectorial'!K192</f>
        <v>0</v>
      </c>
      <c r="K193" s="92">
        <f>'Datos Actividad'!$Y189*'FE Sectorial'!L192</f>
        <v>0</v>
      </c>
      <c r="L193" s="92">
        <f>'Datos Actividad'!$Y189*'FE Sectorial'!M192</f>
        <v>0</v>
      </c>
      <c r="M193" s="92">
        <f>'Datos Actividad'!$Y189*'FE Sectorial'!N192</f>
        <v>5300.5256924004361</v>
      </c>
      <c r="N193" s="92">
        <f>'Datos Actividad'!$Y189*'FE Sectorial'!O192</f>
        <v>0</v>
      </c>
      <c r="O193" s="87">
        <f>IF(D193&lt;400,H193+I193*'Factores generales'!$M$41+J193*'Factores generales'!$N$41,I193*'Factores generales'!$M$41+J193*'Factores generales'!$N$41)</f>
        <v>120956.77394486367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Actividad'!$Y192*'FE Sectorial'!I195</f>
        <v>31.909160321340341</v>
      </c>
      <c r="I196" s="92">
        <f>'Datos Actividad'!$Y192*'FE Sectorial'!J195</f>
        <v>9928.2945301340187</v>
      </c>
      <c r="J196" s="92">
        <f>'Datos Actividad'!$Y192*'FE Sectorial'!K195</f>
        <v>0</v>
      </c>
      <c r="K196" s="92">
        <f>'Datos Actividad'!$Y192*'FE Sectorial'!L195</f>
        <v>0</v>
      </c>
      <c r="L196" s="92">
        <f>'Datos Actividad'!$Y192*'FE Sectorial'!M195</f>
        <v>0</v>
      </c>
      <c r="M196" s="92">
        <f>'Datos Actividad'!$Y192*'FE Sectorial'!N195</f>
        <v>237.42842364839677</v>
      </c>
      <c r="N196" s="92">
        <f>'Datos Actividad'!$Y192*'FE Sectorial'!O195</f>
        <v>0</v>
      </c>
      <c r="O196" s="87">
        <f>IF(D196&lt;400,H196+I196*'Factores generales'!$M$41+J196*'Factores generales'!$N$41,I196*'Factores generales'!$M$41+J196*'Factores generales'!$N$41)</f>
        <v>208526.09429313574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Actividad'!$Y194*'FE Sectorial'!I197</f>
        <v>1534.1205951192464</v>
      </c>
      <c r="I198" s="92">
        <f>'Datos Actividad'!$Y194*'FE Sectorial'!J197</f>
        <v>30107.641856866663</v>
      </c>
      <c r="J198" s="92">
        <f>'Datos Actividad'!$Y194*'FE Sectorial'!K197</f>
        <v>0</v>
      </c>
      <c r="K198" s="92">
        <f>'Datos Actividad'!$Y194*'FE Sectorial'!L197</f>
        <v>0</v>
      </c>
      <c r="L198" s="92">
        <f>'Datos Actividad'!$Y194*'FE Sectorial'!M197</f>
        <v>0</v>
      </c>
      <c r="M198" s="92">
        <f>'Datos Actividad'!$Y194*'FE Sectorial'!N197</f>
        <v>435.73418775982196</v>
      </c>
      <c r="N198" s="92">
        <f>'Datos Actividad'!$Y194*'FE Sectorial'!O197</f>
        <v>0</v>
      </c>
      <c r="O198" s="87">
        <f>IF(D198&lt;400,H198+I198*'Factores generales'!$M$41+J198*'Factores generales'!$N$41,I198*'Factores generales'!$M$41+J198*'Factores generales'!$N$41)</f>
        <v>633794.59958931908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Actividad'!$Y197*'FE Sectorial'!I200</f>
        <v>0</v>
      </c>
      <c r="I201" s="92">
        <f>'Datos Actividad'!$Y197*'FE Sectorial'!J200</f>
        <v>34297.484192999997</v>
      </c>
      <c r="J201" s="92">
        <f>'Datos Actividad'!$Y197*'FE Sectorial'!K200</f>
        <v>0</v>
      </c>
      <c r="K201" s="92">
        <f>'Datos Actividad'!$Y197*'FE Sectorial'!L200</f>
        <v>0</v>
      </c>
      <c r="L201" s="92">
        <f>'Datos Actividad'!$Y197*'FE Sectorial'!M200</f>
        <v>0</v>
      </c>
      <c r="M201" s="92">
        <f>'Datos Actividad'!$Y197*'FE Sectorial'!N200</f>
        <v>0</v>
      </c>
      <c r="N201" s="92">
        <f>'Datos Actividad'!$Y197*'FE Sectorial'!O200</f>
        <v>0</v>
      </c>
      <c r="O201" s="87">
        <f>IF(D201&lt;400,H201+I201*'Factores generales'!$M$41+J201*'Factores generales'!$N$41,I201*'Factores generales'!$M$41+J201*'Factores generales'!$N$41)</f>
        <v>720247.16805299988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Actividad'!$Y199*'FE Sectorial'!I202</f>
        <v>0</v>
      </c>
      <c r="I203" s="92">
        <f>'Datos Actividad'!$Y199*'FE Sectorial'!J202</f>
        <v>9240.3291599999993</v>
      </c>
      <c r="J203" s="92">
        <f>'Datos Actividad'!$Y199*'FE Sectorial'!K202</f>
        <v>0</v>
      </c>
      <c r="K203" s="92">
        <f>'Datos Actividad'!$Y199*'FE Sectorial'!L202</f>
        <v>0</v>
      </c>
      <c r="L203" s="92">
        <f>'Datos Actividad'!$Y199*'FE Sectorial'!M202</f>
        <v>0</v>
      </c>
      <c r="M203" s="92">
        <f>'Datos Actividad'!$Y199*'FE Sectorial'!N202</f>
        <v>0</v>
      </c>
      <c r="N203" s="92">
        <f>'Datos Actividad'!$Y199*'FE Sectorial'!O202</f>
        <v>0</v>
      </c>
      <c r="O203" s="87">
        <f>IF(D203&lt;400,H203+I203*'Factores generales'!$M$41+J203*'Factores generales'!$N$41,I203*'Factores generales'!$M$41+J203*'Factores generales'!$N$41)</f>
        <v>194046.91235999999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3215067.7697632946</v>
      </c>
      <c r="I204" s="134">
        <f t="shared" ref="I204:O204" si="47">SUM(I205:I221)</f>
        <v>32095.202844562958</v>
      </c>
      <c r="J204" s="134">
        <f t="shared" si="47"/>
        <v>25.782655376302866</v>
      </c>
      <c r="K204" s="134">
        <f t="shared" si="47"/>
        <v>0</v>
      </c>
      <c r="L204" s="134">
        <f t="shared" si="47"/>
        <v>0</v>
      </c>
      <c r="M204" s="134">
        <f t="shared" si="47"/>
        <v>17254.60351355869</v>
      </c>
      <c r="N204" s="134">
        <f t="shared" si="47"/>
        <v>0</v>
      </c>
      <c r="O204" s="134">
        <f t="shared" si="47"/>
        <v>3897059.6526657701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Actividad'!$Y203*'FE Sectorial'!I206</f>
        <v>3583.5271749075509</v>
      </c>
      <c r="I207" s="92">
        <f>'Datos Actividad'!$Y203*'FE Sectorial'!J206</f>
        <v>27224.572502461288</v>
      </c>
      <c r="J207" s="92">
        <f>'Datos Actividad'!$Y203*'FE Sectorial'!K206</f>
        <v>0</v>
      </c>
      <c r="K207" s="92">
        <f>'Datos Actividad'!$Y203*'FE Sectorial'!L206</f>
        <v>0</v>
      </c>
      <c r="L207" s="92">
        <f>'Datos Actividad'!$Y203*'FE Sectorial'!M206</f>
        <v>0</v>
      </c>
      <c r="M207" s="92">
        <f>'Datos Actividad'!$Y203*'FE Sectorial'!N206</f>
        <v>16241.92336507965</v>
      </c>
      <c r="N207" s="92">
        <f>'Datos Actividad'!$Y203*'FE Sectorial'!O206</f>
        <v>0</v>
      </c>
      <c r="O207" s="87">
        <f>IF(D207&lt;400,H207+I207*'Factores generales'!$M$41+J207*'Factores generales'!$N$41,I207*'Factores generales'!$M$41+J207*'Factores generales'!$N$41)</f>
        <v>575299.54972659459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Actividad'!$Y205*'FE Sectorial'!I208</f>
        <v>1545123.3841575081</v>
      </c>
      <c r="I209" s="92">
        <f>'Datos Actividad'!$Y205*'FE Sectorial'!J208</f>
        <v>940.12734779137429</v>
      </c>
      <c r="J209" s="92">
        <f>'Datos Actividad'!$Y205*'FE Sectorial'!K208</f>
        <v>24.19962000218781</v>
      </c>
      <c r="K209" s="92">
        <f>'Datos Actividad'!$Y205*'FE Sectorial'!L208</f>
        <v>0</v>
      </c>
      <c r="L209" s="92">
        <f>'Datos Actividad'!$Y205*'FE Sectorial'!M208</f>
        <v>0</v>
      </c>
      <c r="M209" s="92">
        <f>'Datos Actividad'!$Y205*'FE Sectorial'!N208</f>
        <v>795.76689825877531</v>
      </c>
      <c r="N209" s="92">
        <f>'Datos Actividad'!$Y205*'FE Sectorial'!O208</f>
        <v>0</v>
      </c>
      <c r="O209" s="87">
        <f>IF(D209&lt;400,H209+I209*'Factores generales'!$M$41+J209*'Factores generales'!$N$41,I209*'Factores generales'!$M$41+J209*'Factores generales'!$N$41)</f>
        <v>1572367.9406618052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Actividad'!$Y209*'FE Sectorial'!I212</f>
        <v>1543731.3904317098</v>
      </c>
      <c r="I213" s="92">
        <f>'Datos Actividad'!$Y209*'FE Sectorial'!J212</f>
        <v>0</v>
      </c>
      <c r="J213" s="92">
        <f>'Datos Actividad'!$Y209*'FE Sectorial'!K212</f>
        <v>0</v>
      </c>
      <c r="K213" s="92">
        <f>'Datos Actividad'!$Y209*'FE Sectorial'!L212</f>
        <v>0</v>
      </c>
      <c r="L213" s="92">
        <f>'Datos Actividad'!$Y209*'FE Sectorial'!M212</f>
        <v>0</v>
      </c>
      <c r="M213" s="92">
        <f>'Datos Actividad'!$Y209*'FE Sectorial'!N212</f>
        <v>0</v>
      </c>
      <c r="N213" s="92">
        <f>'Datos Actividad'!$Y209*'FE Sectorial'!O212</f>
        <v>0</v>
      </c>
      <c r="O213" s="87">
        <f>IF(D213&lt;400,H213+I213*'Factores generales'!$M$41+J213*'Factores generales'!$N$41,I213*'Factores generales'!$M$41+J213*'Factores generales'!$N$41)</f>
        <v>1543731.3904317098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Actividad'!$Y211*'FE Sectorial'!I214</f>
        <v>101.48321338068676</v>
      </c>
      <c r="I215" s="92">
        <f>'Datos Actividad'!$Y211*'FE Sectorial'!J214</f>
        <v>3849.4096567967413</v>
      </c>
      <c r="J215" s="92">
        <f>'Datos Actividad'!$Y211*'FE Sectorial'!K214</f>
        <v>0</v>
      </c>
      <c r="K215" s="92">
        <f>'Datos Actividad'!$Y211*'FE Sectorial'!L214</f>
        <v>0</v>
      </c>
      <c r="L215" s="92">
        <f>'Datos Actividad'!$Y211*'FE Sectorial'!M214</f>
        <v>0</v>
      </c>
      <c r="M215" s="92">
        <f>'Datos Actividad'!$Y211*'FE Sectorial'!N214</f>
        <v>151.74947309101276</v>
      </c>
      <c r="N215" s="92">
        <f>'Datos Actividad'!$Y211*'FE Sectorial'!O214</f>
        <v>0</v>
      </c>
      <c r="O215" s="87">
        <f>IF(D215&lt;400,H215+I215*'Factores generales'!$M$41+J215*'Factores generales'!$N$41,I215*'Factores generales'!$M$41+J215*'Factores generales'!$N$41)</f>
        <v>80939.086006112266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Actividad'!$Y214*'FE Sectorial'!I217</f>
        <v>34700.086012118874</v>
      </c>
      <c r="I218" s="92">
        <f>'Datos Actividad'!$Y214*'FE Sectorial'!J217</f>
        <v>21.831658690095995</v>
      </c>
      <c r="J218" s="92">
        <f>'Datos Actividad'!$Y214*'FE Sectorial'!K217</f>
        <v>0.61800015392068652</v>
      </c>
      <c r="K218" s="92">
        <f>'Datos Actividad'!$Y214*'FE Sectorial'!L217</f>
        <v>0</v>
      </c>
      <c r="L218" s="92">
        <f>'Datos Actividad'!$Y214*'FE Sectorial'!M217</f>
        <v>0</v>
      </c>
      <c r="M218" s="92">
        <f>'Datos Actividad'!$Y214*'FE Sectorial'!N217</f>
        <v>18.179638561478782</v>
      </c>
      <c r="N218" s="92">
        <f>'Datos Actividad'!$Y214*'FE Sectorial'!O217</f>
        <v>0</v>
      </c>
      <c r="O218" s="87">
        <f>IF(D218&lt;400,H218+I218*'Factores generales'!$M$41+J218*'Factores generales'!$N$41,I218*'Factores generales'!$M$41+J218*'Factores generales'!$N$41)</f>
        <v>35350.130892326299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Actividad'!$Y216*'FE Sectorial'!I219</f>
        <v>87827.89877366912</v>
      </c>
      <c r="I220" s="92">
        <f>'Datos Actividad'!$Y216*'FE Sectorial'!J219</f>
        <v>59.261678823457572</v>
      </c>
      <c r="J220" s="92">
        <f>'Datos Actividad'!$Y216*'FE Sectorial'!K219</f>
        <v>0.96503522019437016</v>
      </c>
      <c r="K220" s="92">
        <f>'Datos Actividad'!$Y216*'FE Sectorial'!L219</f>
        <v>0</v>
      </c>
      <c r="L220" s="92">
        <f>'Datos Actividad'!$Y216*'FE Sectorial'!M219</f>
        <v>0</v>
      </c>
      <c r="M220" s="92">
        <f>'Datos Actividad'!$Y216*'FE Sectorial'!N219</f>
        <v>46.984138567770799</v>
      </c>
      <c r="N220" s="92">
        <f>'Datos Actividad'!$Y216*'FE Sectorial'!O219</f>
        <v>0</v>
      </c>
      <c r="O220" s="87">
        <f>IF(D220&lt;400,H220+I220*'Factores generales'!$M$41+J220*'Factores generales'!$N$41,I220*'Factores generales'!$M$41+J220*'Factores generales'!$N$41)</f>
        <v>89371.554947221986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8194250.6720190868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2871699.1018721201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1498011.08733693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1373688.0145351901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102209464.46300934</v>
      </c>
      <c r="I5" s="138">
        <f t="shared" si="0"/>
        <v>215738.06363968982</v>
      </c>
      <c r="J5" s="138">
        <f t="shared" si="0"/>
        <v>3173.6683806897972</v>
      </c>
      <c r="K5" s="138">
        <f t="shared" si="0"/>
        <v>546864.70362476364</v>
      </c>
      <c r="L5" s="138">
        <f t="shared" si="0"/>
        <v>2191996.4550097664</v>
      </c>
      <c r="M5" s="138">
        <f t="shared" si="0"/>
        <v>443770.36560176202</v>
      </c>
      <c r="N5" s="138">
        <f t="shared" si="0"/>
        <v>77182.097185111896</v>
      </c>
      <c r="O5" s="138">
        <f t="shared" si="0"/>
        <v>107797349.35271986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99159300.225821614</v>
      </c>
      <c r="I6" s="124">
        <f t="shared" si="1"/>
        <v>11860.216157146691</v>
      </c>
      <c r="J6" s="124">
        <f t="shared" si="1"/>
        <v>3150.4032280346319</v>
      </c>
      <c r="K6" s="124">
        <f t="shared" si="1"/>
        <v>545542.02246748249</v>
      </c>
      <c r="L6" s="124">
        <f t="shared" si="1"/>
        <v>2189880.1726097665</v>
      </c>
      <c r="M6" s="124">
        <f t="shared" si="1"/>
        <v>353749.79889602063</v>
      </c>
      <c r="N6" s="124">
        <f t="shared" si="1"/>
        <v>56019.273185111888</v>
      </c>
      <c r="O6" s="124">
        <f t="shared" si="1"/>
        <v>100458538.12107562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30421441.931500647</v>
      </c>
      <c r="I7" s="129">
        <f t="shared" si="2"/>
        <v>777.27120075323364</v>
      </c>
      <c r="J7" s="129">
        <f t="shared" si="2"/>
        <v>139.87188300873385</v>
      </c>
      <c r="K7" s="129">
        <f t="shared" si="2"/>
        <v>81704.846976897388</v>
      </c>
      <c r="L7" s="129">
        <f t="shared" si="2"/>
        <v>8919.3869584215263</v>
      </c>
      <c r="M7" s="129">
        <f t="shared" si="2"/>
        <v>2413.9033245121354</v>
      </c>
      <c r="N7" s="129">
        <f t="shared" si="2"/>
        <v>33812.238722801871</v>
      </c>
      <c r="O7" s="129">
        <f t="shared" si="2"/>
        <v>30481124.91044917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18641005.056353331</v>
      </c>
      <c r="I8" s="134">
        <f t="shared" si="3"/>
        <v>473.27456810399997</v>
      </c>
      <c r="J8" s="134">
        <f t="shared" si="3"/>
        <v>84.121684910400006</v>
      </c>
      <c r="K8" s="134">
        <f t="shared" si="3"/>
        <v>50153.520405600008</v>
      </c>
      <c r="L8" s="134">
        <f t="shared" si="3"/>
        <v>5513.2535830800007</v>
      </c>
      <c r="M8" s="134">
        <f t="shared" si="3"/>
        <v>1488.0977785200002</v>
      </c>
      <c r="N8" s="134">
        <f t="shared" si="3"/>
        <v>20841.96688</v>
      </c>
      <c r="O8" s="134">
        <f t="shared" si="3"/>
        <v>18677021.544605736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18641005.056353331</v>
      </c>
      <c r="I9" s="93">
        <f t="shared" ref="I9:O9" si="4">I10+I11+I12+I13+I14</f>
        <v>473.27456810399997</v>
      </c>
      <c r="J9" s="93">
        <f t="shared" si="4"/>
        <v>84.121684910400006</v>
      </c>
      <c r="K9" s="93">
        <f t="shared" si="4"/>
        <v>50153.520405600008</v>
      </c>
      <c r="L9" s="93">
        <f t="shared" si="4"/>
        <v>5513.2535830800007</v>
      </c>
      <c r="M9" s="93">
        <f t="shared" si="4"/>
        <v>1488.0977785200002</v>
      </c>
      <c r="N9" s="93">
        <f t="shared" si="4"/>
        <v>20841.96688</v>
      </c>
      <c r="O9" s="93">
        <f t="shared" si="4"/>
        <v>18677021.544605736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Actividad'!$Z6*'FE Sectorial'!$H9*'FE Sectorial'!I9*'FE Sectorial'!$P9/1000</f>
        <v>691732.54661279998</v>
      </c>
      <c r="I10" s="92">
        <f>'Datos Actividad'!$Z6*'FE Sectorial'!$H9*'FE Sectorial'!J9/1000/1000</f>
        <v>7.4614115999999999</v>
      </c>
      <c r="J10" s="92">
        <f>'Datos Actividad'!$Z6*'FE Sectorial'!$H9*'FE Sectorial'!K9/1000/1000</f>
        <v>11.192117400000003</v>
      </c>
      <c r="K10" s="92">
        <f>'Datos Actividad'!$Z6*'FE Sectorial'!$H9*'FE Sectorial'!L9/1000/1000</f>
        <v>2238.4234799999999</v>
      </c>
      <c r="L10" s="92">
        <f>'Datos Actividad'!$Z6*'FE Sectorial'!$H9*'FE Sectorial'!M9/1000/1000</f>
        <v>149.22823199999999</v>
      </c>
      <c r="M10" s="92">
        <f>'Datos Actividad'!$Z6*'FE Sectorial'!$H9*'FE Sectorial'!N9/1000/1000</f>
        <v>37.307057999999998</v>
      </c>
      <c r="N10" s="92">
        <f>'Datos Actividad'!$Z6*'FE Sectorial'!$H9*'FE Sectorial'!O9/1000/1000</f>
        <v>7143.2894000000015</v>
      </c>
      <c r="O10" s="92">
        <f>IF(D10&lt;400,H10+I10*'Factores generales'!$M$41+J10*'Factores generales'!$N$41,I10*'Factores generales'!$M$41+J10*'Factores generales'!$N$41)</f>
        <v>695358.79265039996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Actividad'!$Z7*'FE Sectorial'!$H10*'FE Sectorial'!I10*'FE Sectorial'!$P10/1000</f>
        <v>1674952.4215709998</v>
      </c>
      <c r="I11" s="17">
        <f>'Datos Actividad'!$Z7*'FE Sectorial'!$H10*'FE Sectorial'!J10/1000/1000</f>
        <v>68.496807000000004</v>
      </c>
      <c r="J11" s="17">
        <f>'Datos Actividad'!$Z7*'FE Sectorial'!$H10*'FE Sectorial'!K10/1000/1000</f>
        <v>13.699361399999999</v>
      </c>
      <c r="K11" s="17">
        <f>'Datos Actividad'!$Z7*'FE Sectorial'!$H10*'FE Sectorial'!L10/1000/1000</f>
        <v>4566.4538000000002</v>
      </c>
      <c r="L11" s="17">
        <f>'Datos Actividad'!$Z7*'FE Sectorial'!$H10*'FE Sectorial'!M10/1000/1000</f>
        <v>342.48403499999995</v>
      </c>
      <c r="M11" s="17">
        <f>'Datos Actividad'!$Z7*'FE Sectorial'!$H10*'FE Sectorial'!N10/1000/1000</f>
        <v>114.161345</v>
      </c>
      <c r="N11" s="17">
        <f>'Datos Actividad'!$Z7*'FE Sectorial'!$H10*'FE Sectorial'!O10/1000/1000</f>
        <v>828.33348000000001</v>
      </c>
      <c r="O11" s="17">
        <f>IF(D11&lt;400,H11+I11*'Factores generales'!$M$41+J11*'Factores generales'!$N$41,I11*'Factores generales'!$M$41+J11*'Factores generales'!$N$41)</f>
        <v>1680637.6565519997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Actividad'!$Z8*'FE Sectorial'!$H11*'FE Sectorial'!I11*'FE Sectorial'!$P11/1000</f>
        <v>4980325.0456871996</v>
      </c>
      <c r="I12" s="92">
        <f>'Datos Actividad'!$Z8*'FE Sectorial'!$H11*'FE Sectorial'!J11/1000/1000</f>
        <v>194.98571159999997</v>
      </c>
      <c r="J12" s="92">
        <f>'Datos Actividad'!$Z8*'FE Sectorial'!$H11*'FE Sectorial'!K11/1000/1000</f>
        <v>38.997142319999995</v>
      </c>
      <c r="K12" s="92">
        <f>'Datos Actividad'!$Z8*'FE Sectorial'!$H11*'FE Sectorial'!L11/1000/1000</f>
        <v>12999.04744</v>
      </c>
      <c r="L12" s="92">
        <f>'Datos Actividad'!$Z8*'FE Sectorial'!$H11*'FE Sectorial'!M11/1000/1000</f>
        <v>974.92855799999984</v>
      </c>
      <c r="M12" s="92">
        <f>'Datos Actividad'!$Z8*'FE Sectorial'!$H11*'FE Sectorial'!N11/1000/1000</f>
        <v>324.97618599999998</v>
      </c>
      <c r="N12" s="92">
        <f>'Datos Actividad'!$Z8*'FE Sectorial'!$H11*'FE Sectorial'!O11/1000/1000</f>
        <v>12870.343999999999</v>
      </c>
      <c r="O12" s="92">
        <f>IF(D12&lt;400,H12+I12*'Factores generales'!$M$41+J12*'Factores generales'!$N$41,I12*'Factores generales'!$M$41+J12*'Factores generales'!$N$41)</f>
        <v>4996508.8597499998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Actividad'!$Z9*'FE Sectorial'!$H12*'FE Sectorial'!I12*'FE Sectorial'!$P12/1000</f>
        <v>11293995.04248233</v>
      </c>
      <c r="I13" s="17">
        <f>'Datos Actividad'!$Z9*'FE Sectorial'!$H12*'FE Sectorial'!J12/1000/1000</f>
        <v>202.33063790400001</v>
      </c>
      <c r="J13" s="17">
        <f>'Datos Actividad'!$Z9*'FE Sectorial'!$H12*'FE Sectorial'!K12/1000/1000</f>
        <v>20.233063790400003</v>
      </c>
      <c r="K13" s="17">
        <f>'Datos Actividad'!$Z9*'FE Sectorial'!$H12*'FE Sectorial'!L12/1000/1000</f>
        <v>30349.595685600001</v>
      </c>
      <c r="L13" s="17">
        <f>'Datos Actividad'!$Z9*'FE Sectorial'!$H12*'FE Sectorial'!M12/1000/1000</f>
        <v>4046.6127580800007</v>
      </c>
      <c r="M13" s="17">
        <f>'Datos Actividad'!$Z9*'FE Sectorial'!$H12*'FE Sectorial'!N12/1000/1000</f>
        <v>1011.6531895200002</v>
      </c>
      <c r="N13" s="17">
        <f>'Datos Actividad'!$Z9*'FE Sectorial'!$H12*'FE Sectorial'!O12/1000/1000</f>
        <v>0</v>
      </c>
      <c r="O13" s="17">
        <f>IF(D13&lt;400,H13+I13*'Factores generales'!$M$41+J13*'Factores generales'!$N$41,I13*'Factores generales'!$M$41+J13*'Factores generales'!$N$41)</f>
        <v>11304516.235653337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Actividad'!$Z10*'FE Sectorial'!$H13*'FE Sectorial'!I13*'FE Sectorial'!$P13/1000</f>
        <v>0</v>
      </c>
      <c r="I14" s="147">
        <f>'Datos Actividad'!$Z10*'FE Sectorial'!$H13*'FE Sectorial'!J13/1000/1000</f>
        <v>0</v>
      </c>
      <c r="J14" s="147">
        <f>'Datos Actividad'!$Z10*'FE Sectorial'!$H13*'FE Sectorial'!K13/1000/1000</f>
        <v>0</v>
      </c>
      <c r="K14" s="147">
        <f>'Datos Actividad'!$Z10*'FE Sectorial'!$H13*'FE Sectorial'!L13/1000/1000</f>
        <v>0</v>
      </c>
      <c r="L14" s="147">
        <f>'Datos Actividad'!$Z10*'FE Sectorial'!$H13*'FE Sectorial'!M13/1000/1000</f>
        <v>0</v>
      </c>
      <c r="M14" s="147">
        <f>'Datos Actividad'!$Z10*'FE Sectorial'!$H13*'FE Sectorial'!N13/1000/1000</f>
        <v>0</v>
      </c>
      <c r="N14" s="147">
        <f>'Datos Actividad'!$Z10*'FE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7033850.908545143</v>
      </c>
      <c r="I17" s="134">
        <f t="shared" ref="I17:O17" si="5">SUM(I18:I25)</f>
        <v>219.52494705323363</v>
      </c>
      <c r="J17" s="134">
        <f t="shared" si="5"/>
        <v>43.919889788733826</v>
      </c>
      <c r="K17" s="134">
        <f t="shared" si="5"/>
        <v>18676.526856897384</v>
      </c>
      <c r="L17" s="134">
        <f t="shared" si="5"/>
        <v>1741.9686259215252</v>
      </c>
      <c r="M17" s="134">
        <f t="shared" si="5"/>
        <v>509.06244301213536</v>
      </c>
      <c r="N17" s="134">
        <f t="shared" si="5"/>
        <v>10426.821842801872</v>
      </c>
      <c r="O17" s="134">
        <f t="shared" si="5"/>
        <v>7052076.0982677685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Actividad'!$Z14*'FE Sectorial'!$H17*'FE Sectorial'!I17*'FE Sectorial'!P17/1000</f>
        <v>1056659.536651752</v>
      </c>
      <c r="I18" s="17">
        <f>'Datos Actividad'!$Z14*'FE Sectorial'!$H17*'FE Sectorial'!J17/1000/1000</f>
        <v>18.929935535999999</v>
      </c>
      <c r="J18" s="17">
        <f>'Datos Actividad'!$Z14*'FE Sectorial'!$H17*'FE Sectorial'!K17/1000/1000</f>
        <v>1.8929935536</v>
      </c>
      <c r="K18" s="17">
        <f>'Datos Actividad'!$Z14*'FE Sectorial'!$H17*'FE Sectorial'!L17/1000/1000</f>
        <v>2839.4903303999995</v>
      </c>
      <c r="L18" s="17">
        <f>'Datos Actividad'!$Z14*'FE Sectorial'!$H17*'FE Sectorial'!M17/1000/1000</f>
        <v>378.59871071999999</v>
      </c>
      <c r="M18" s="17">
        <f>'Datos Actividad'!$Z14*'FE Sectorial'!$H17*'FE Sectorial'!N17/1000/1000</f>
        <v>94.649677679999996</v>
      </c>
      <c r="N18" s="17">
        <f>'Datos Actividad'!$Z14*'FE Sectorial'!$H17*'FE Sectorial'!O17/1000/1000</f>
        <v>0</v>
      </c>
      <c r="O18" s="87">
        <f>IF(D18&lt;400,H18+I18*'Factores generales'!$M$41+J18*'Factores generales'!$N$41,I18*'Factores generales'!$M$41+J18*'Factores generales'!$N$41)</f>
        <v>1057643.8932996241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Actividad'!$Z15*'FE Sectorial'!$H18*'FE Sectorial'!I18*'FE Sectorial'!P18/1000</f>
        <v>17453.46207452055</v>
      </c>
      <c r="I19" s="17">
        <f>'Datos Actividad'!$Z15*'FE Sectorial'!$H18*'FE Sectorial'!J18/1000/1000</f>
        <v>0.27939397260273979</v>
      </c>
      <c r="J19" s="17">
        <f>'Datos Actividad'!$Z15*'FE Sectorial'!$H18*'FE Sectorial'!K18/1000/1000</f>
        <v>2.7939397260273977E-2</v>
      </c>
      <c r="K19" s="17">
        <f>'Datos Actividad'!$Z15*'FE Sectorial'!$H18*'FE Sectorial'!L18/1000/1000</f>
        <v>41.90909589041096</v>
      </c>
      <c r="L19" s="17">
        <f>'Datos Actividad'!$Z15*'FE Sectorial'!$H18*'FE Sectorial'!M18/1000/1000</f>
        <v>5.5878794520547945</v>
      </c>
      <c r="M19" s="17">
        <f>'Datos Actividad'!$Z15*'FE Sectorial'!$H18*'FE Sectorial'!N18/1000/1000</f>
        <v>1.3969698630136986</v>
      </c>
      <c r="N19" s="17">
        <f>'Datos Actividad'!$Z15*'FE Sectorial'!$H18*'FE Sectorial'!O18/1000/1000</f>
        <v>1.1813698630136988</v>
      </c>
      <c r="O19" s="87">
        <f>IF(D19&lt;400,H19+I19*'Factores generales'!$M$41+J19*'Factores generales'!$N$41,I19*'Factores generales'!$M$41+J19*'Factores generales'!$N$41)</f>
        <v>17467.990561095892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Actividad'!$Z16*'FE Sectorial'!$H19*'FE Sectorial'!I19*'FE Sectorial'!P19/1000</f>
        <v>1184523.41304</v>
      </c>
      <c r="I20" s="17">
        <f>'Datos Actividad'!$Z16*'FE Sectorial'!$H19*'FE Sectorial'!J19/1000/1000</f>
        <v>20.667982499999997</v>
      </c>
      <c r="J20" s="17">
        <f>'Datos Actividad'!$Z16*'FE Sectorial'!$H19*'FE Sectorial'!K19/1000/1000</f>
        <v>2.0667982499999997</v>
      </c>
      <c r="K20" s="17">
        <f>'Datos Actividad'!$Z16*'FE Sectorial'!$H19*'FE Sectorial'!L19/1000/1000</f>
        <v>3100.1973750000002</v>
      </c>
      <c r="L20" s="17">
        <f>'Datos Actividad'!$Z16*'FE Sectorial'!$H19*'FE Sectorial'!M19/1000/1000</f>
        <v>413.35965000000004</v>
      </c>
      <c r="M20" s="17">
        <f>'Datos Actividad'!$Z16*'FE Sectorial'!$H19*'FE Sectorial'!N19/1000/1000</f>
        <v>103.33991250000001</v>
      </c>
      <c r="N20" s="17">
        <f>'Datos Actividad'!$Z16*'FE Sectorial'!$H19*'FE Sectorial'!O19/1000/1000</f>
        <v>0</v>
      </c>
      <c r="O20" s="87">
        <f>IF(D20&lt;400,H20+I20*'Factores generales'!$M$41+J20*'Factores generales'!$N$41,I20*'Factores generales'!$M$41+J20*'Factores generales'!$N$41)</f>
        <v>1185598.1481300001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Actividad'!$Z17*'FE Sectorial'!$H20*'FE Sectorial'!I20*'FE Sectorial'!P20/1000</f>
        <v>52965.076922038847</v>
      </c>
      <c r="I21" s="17">
        <f>'Datos Actividad'!$Z17*'FE Sectorial'!$H20*'FE Sectorial'!J20/1000/1000</f>
        <v>2.244758504854369</v>
      </c>
      <c r="J21" s="17">
        <f>'Datos Actividad'!$Z17*'FE Sectorial'!$H20*'FE Sectorial'!K20/1000/1000</f>
        <v>0.44895170097087389</v>
      </c>
      <c r="K21" s="17">
        <f>'Datos Actividad'!$Z17*'FE Sectorial'!$H20*'FE Sectorial'!L20/1000/1000</f>
        <v>149.65056699029128</v>
      </c>
      <c r="L21" s="17">
        <f>'Datos Actividad'!$Z17*'FE Sectorial'!$H20*'FE Sectorial'!M20/1000/1000</f>
        <v>11.223792524271849</v>
      </c>
      <c r="M21" s="17">
        <f>'Datos Actividad'!$Z17*'FE Sectorial'!$H20*'FE Sectorial'!N20/1000/1000</f>
        <v>3.7412641747572826</v>
      </c>
      <c r="N21" s="17">
        <f>'Datos Actividad'!$Z17*'FE Sectorial'!$H20*'FE Sectorial'!O20/1000/1000</f>
        <v>33.934368932038844</v>
      </c>
      <c r="O21" s="87">
        <f>IF(D21&lt;400,H21+I21*'Factores generales'!$M$41+J21*'Factores generales'!$N$41,I21*'Factores generales'!$M$41+J21*'Factores generales'!$N$41)</f>
        <v>53151.391877941758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Actividad'!$Z18*'FE Sectorial'!$H21*'FE Sectorial'!I21*'FE Sectorial'!P21/1000</f>
        <v>33507.072160434785</v>
      </c>
      <c r="I22" s="17">
        <f>'Datos Actividad'!$Z18*'FE Sectorial'!$H21*'FE Sectorial'!J21/1000/1000</f>
        <v>1.465174347826087</v>
      </c>
      <c r="J22" s="17">
        <f>'Datos Actividad'!$Z18*'FE Sectorial'!$H21*'FE Sectorial'!K21/1000/1000</f>
        <v>0.29303486956521746</v>
      </c>
      <c r="K22" s="17">
        <f>'Datos Actividad'!$Z18*'FE Sectorial'!$H21*'FE Sectorial'!L21/1000/1000</f>
        <v>97.678289855072464</v>
      </c>
      <c r="L22" s="17">
        <f>'Datos Actividad'!$Z18*'FE Sectorial'!$H21*'FE Sectorial'!M21/1000/1000</f>
        <v>7.3258717391304353</v>
      </c>
      <c r="M22" s="17">
        <f>'Datos Actividad'!$Z18*'FE Sectorial'!$H21*'FE Sectorial'!N21/1000/1000</f>
        <v>2.4419572463768118</v>
      </c>
      <c r="N22" s="17">
        <f>'Datos Actividad'!$Z18*'FE Sectorial'!$H21*'FE Sectorial'!O21/1000/1000</f>
        <v>2.2049275362318843</v>
      </c>
      <c r="O22" s="87">
        <f>IF(D22&lt;400,H22+I22*'Factores generales'!$M$41+J22*'Factores generales'!$N$41,I22*'Factores generales'!$M$41+J22*'Factores generales'!$N$41)</f>
        <v>33628.681631304353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Actividad'!$Z19*'FE Sectorial'!$H22*'FE Sectorial'!I22*'FE Sectorial'!P22/1000</f>
        <v>462774.46341176459</v>
      </c>
      <c r="I23" s="17">
        <f>'Datos Actividad'!$Z19*'FE Sectorial'!$H22*'FE Sectorial'!J22/1000/1000</f>
        <v>18.925058823529408</v>
      </c>
      <c r="J23" s="17">
        <f>'Datos Actividad'!$Z19*'FE Sectorial'!$H22*'FE Sectorial'!K22/1000/1000</f>
        <v>3.7850117647058816</v>
      </c>
      <c r="K23" s="17">
        <f>'Datos Actividad'!$Z19*'FE Sectorial'!$H22*'FE Sectorial'!L22/1000/1000</f>
        <v>1261.670588235294</v>
      </c>
      <c r="L23" s="17">
        <f>'Datos Actividad'!$Z19*'FE Sectorial'!$H22*'FE Sectorial'!M22/1000/1000</f>
        <v>94.62529411764703</v>
      </c>
      <c r="M23" s="17">
        <f>'Datos Actividad'!$Z19*'FE Sectorial'!$H22*'FE Sectorial'!N22/1000/1000</f>
        <v>31.54176470588235</v>
      </c>
      <c r="N23" s="17">
        <f>'Datos Actividad'!$Z19*'FE Sectorial'!$H22*'FE Sectorial'!O22/1000/1000</f>
        <v>228.86117647058819</v>
      </c>
      <c r="O23" s="87">
        <f>IF(D23&lt;400,H23+I23*'Factores generales'!$M$41+J23*'Factores generales'!$N$41,I23*'Factores generales'!$M$41+J23*'Factores generales'!$N$41)</f>
        <v>464345.24329411756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Actividad'!$Z20*'FE Sectorial'!$H23*'FE Sectorial'!I23*'FE Sectorial'!P23/1000</f>
        <v>3931774.4632320004</v>
      </c>
      <c r="I24" s="17">
        <f>'Datos Actividad'!$Z20*'FE Sectorial'!$H23*'FE Sectorial'!J23/1000/1000</f>
        <v>153.933696</v>
      </c>
      <c r="J24" s="17">
        <f>'Datos Actividad'!$Z20*'FE Sectorial'!$H23*'FE Sectorial'!K23/1000/1000</f>
        <v>30.7867392</v>
      </c>
      <c r="K24" s="17">
        <f>'Datos Actividad'!$Z20*'FE Sectorial'!$H23*'FE Sectorial'!L23/1000/1000</f>
        <v>10262.2464</v>
      </c>
      <c r="L24" s="17">
        <f>'Datos Actividad'!$Z20*'FE Sectorial'!$H23*'FE Sectorial'!M23/1000/1000</f>
        <v>769.66847999999993</v>
      </c>
      <c r="M24" s="17">
        <f>'Datos Actividad'!$Z20*'FE Sectorial'!$H23*'FE Sectorial'!N23/1000/1000</f>
        <v>256.55615999999998</v>
      </c>
      <c r="N24" s="17">
        <f>'Datos Actividad'!$Z20*'FE Sectorial'!$H23*'FE Sectorial'!O23/1000/1000</f>
        <v>10160.64</v>
      </c>
      <c r="O24" s="87">
        <f>IF(D24&lt;400,H24+I24*'Factores generales'!$M$41+J24*'Factores generales'!$N$41,I24*'Factores generales'!$M$41+J24*'Factores generales'!$N$41)</f>
        <v>3944550.9600000004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Actividad'!$Z21*'FE Sectorial'!$H24*'FE Sectorial'!I24*'FE Sectorial'!P24/1000</f>
        <v>294193.42105263157</v>
      </c>
      <c r="I25" s="17">
        <f>'Datos Actividad'!$Z21*'FE Sectorial'!$H24*'FE Sectorial'!J24/1000/1000</f>
        <v>3.0789473684210527</v>
      </c>
      <c r="J25" s="17">
        <f>'Datos Actividad'!$Z21*'FE Sectorial'!$H24*'FE Sectorial'!K24/1000/1000</f>
        <v>4.6184210526315788</v>
      </c>
      <c r="K25" s="17">
        <f>'Datos Actividad'!$Z21*'FE Sectorial'!$H24*'FE Sectorial'!L24/1000/1000</f>
        <v>923.68421052631584</v>
      </c>
      <c r="L25" s="17">
        <f>'Datos Actividad'!$Z21*'FE Sectorial'!$H24*'FE Sectorial'!M24/1000/1000</f>
        <v>61.578947368421048</v>
      </c>
      <c r="M25" s="17">
        <f>'Datos Actividad'!$Z21*'FE Sectorial'!$H24*'FE Sectorial'!N24/1000/1000</f>
        <v>15.394736842105262</v>
      </c>
      <c r="N25" s="17">
        <f>'Datos Actividad'!$Z21*'FE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295689.78947368421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4746585.9666021727</v>
      </c>
      <c r="I26" s="134">
        <f t="shared" ref="I26:O26" si="6">I27+I28</f>
        <v>84.471685595999986</v>
      </c>
      <c r="J26" s="134">
        <f t="shared" si="6"/>
        <v>11.830308309600001</v>
      </c>
      <c r="K26" s="134">
        <f t="shared" si="6"/>
        <v>12874.7997144</v>
      </c>
      <c r="L26" s="134">
        <f t="shared" si="6"/>
        <v>1664.1647494200001</v>
      </c>
      <c r="M26" s="134">
        <f t="shared" si="6"/>
        <v>416.74310298</v>
      </c>
      <c r="N26" s="134">
        <f t="shared" si="6"/>
        <v>2543.4500000000003</v>
      </c>
      <c r="O26" s="134">
        <f t="shared" si="6"/>
        <v>4752027.2675756654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4746585.9666021727</v>
      </c>
      <c r="I28" s="15">
        <f t="shared" si="7"/>
        <v>84.471685595999986</v>
      </c>
      <c r="J28" s="15">
        <f t="shared" si="7"/>
        <v>11.830308309600001</v>
      </c>
      <c r="K28" s="15">
        <f t="shared" si="7"/>
        <v>12874.7997144</v>
      </c>
      <c r="L28" s="15">
        <f t="shared" si="7"/>
        <v>1664.1647494200001</v>
      </c>
      <c r="M28" s="15">
        <f t="shared" si="7"/>
        <v>416.74310298</v>
      </c>
      <c r="N28" s="15">
        <f t="shared" si="7"/>
        <v>2543.4500000000003</v>
      </c>
      <c r="O28" s="15">
        <f t="shared" si="7"/>
        <v>4752027.2675756654</v>
      </c>
    </row>
    <row r="29" spans="1:15" outlineLevel="1" x14ac:dyDescent="0.25">
      <c r="B29" s="1" t="s">
        <v>7</v>
      </c>
      <c r="G29" s="1"/>
      <c r="H29" s="95">
        <f t="shared" ref="H29:O29" si="8">H30+H31</f>
        <v>212876.1096</v>
      </c>
      <c r="I29" s="95">
        <f t="shared" si="8"/>
        <v>2.2961999999999998</v>
      </c>
      <c r="J29" s="95">
        <f t="shared" si="8"/>
        <v>3.4443000000000006</v>
      </c>
      <c r="K29" s="95">
        <f t="shared" si="8"/>
        <v>688.86</v>
      </c>
      <c r="L29" s="95">
        <f t="shared" si="8"/>
        <v>45.923999999999999</v>
      </c>
      <c r="M29" s="95">
        <f t="shared" si="8"/>
        <v>11.481</v>
      </c>
      <c r="N29" s="95">
        <f t="shared" si="8"/>
        <v>2198.3000000000002</v>
      </c>
      <c r="O29" s="95">
        <f t="shared" si="8"/>
        <v>213992.06280000001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Actividad'!$Z26*'FE Sectorial'!$H29*'FE Sectorial'!I29*'FE Sectorial'!P29/1000</f>
        <v>212876.1096</v>
      </c>
      <c r="I30" s="17">
        <f>'Datos Actividad'!$Z26*'FE Sectorial'!$H29*'FE Sectorial'!J29/1000/1000</f>
        <v>2.2961999999999998</v>
      </c>
      <c r="J30" s="17">
        <f>'Datos Actividad'!$Z26*'FE Sectorial'!$H29*'FE Sectorial'!K29/1000/1000</f>
        <v>3.4443000000000006</v>
      </c>
      <c r="K30" s="17">
        <f>'Datos Actividad'!$Z26*'FE Sectorial'!$H29*'FE Sectorial'!L29/1000/1000</f>
        <v>688.86</v>
      </c>
      <c r="L30" s="17">
        <f>'Datos Actividad'!$Z26*'FE Sectorial'!$H29*'FE Sectorial'!M29/1000/1000</f>
        <v>45.923999999999999</v>
      </c>
      <c r="M30" s="17">
        <f>'Datos Actividad'!$Z26*'FE Sectorial'!$H29*'FE Sectorial'!N29/1000/1000</f>
        <v>11.481</v>
      </c>
      <c r="N30" s="17">
        <f>'Datos Actividad'!$Z26*'FE Sectorial'!$H29*'FE Sectorial'!O29/1000/1000</f>
        <v>2198.3000000000002</v>
      </c>
      <c r="O30" s="87">
        <f>IF(D30&lt;400,H30+I30*'Factores generales'!$M$41+J30*'Factores generales'!$N$41,I30*'Factores generales'!$M$41+J30*'Factores generales'!$N$41)</f>
        <v>213992.06280000001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Actividad'!$Z27*'FE Sectorial'!$H30*'FE Sectorial'!I30*'FE Sectorial'!P30/1000</f>
        <v>0</v>
      </c>
      <c r="I31" s="17">
        <f>'Datos Actividad'!$Z27*'FE Sectorial'!$H30*'FE Sectorial'!J30/1000/1000</f>
        <v>0</v>
      </c>
      <c r="J31" s="17">
        <f>'Datos Actividad'!$Z27*'FE Sectorial'!$H30*'FE Sectorial'!K30/1000/1000</f>
        <v>0</v>
      </c>
      <c r="K31" s="17">
        <f>'Datos Actividad'!$Z27*'FE Sectorial'!$H30*'FE Sectorial'!L30/1000/1000</f>
        <v>0</v>
      </c>
      <c r="L31" s="17">
        <f>'Datos Actividad'!$Z27*'FE Sectorial'!$H30*'FE Sectorial'!M30/1000/1000</f>
        <v>0</v>
      </c>
      <c r="M31" s="17">
        <f>'Datos Actividad'!$Z27*'FE Sectorial'!$H30*'FE Sectorial'!N30/1000/1000</f>
        <v>0</v>
      </c>
      <c r="N31" s="17">
        <f>'Datos Actividad'!$Z27*'FE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4533709.8570021726</v>
      </c>
      <c r="I32" s="17">
        <f t="shared" ref="I32:O32" si="9">I33+I34+I35</f>
        <v>82.175485595999987</v>
      </c>
      <c r="J32" s="17">
        <f t="shared" si="9"/>
        <v>8.3860083096000011</v>
      </c>
      <c r="K32" s="17">
        <f t="shared" si="9"/>
        <v>12185.9397144</v>
      </c>
      <c r="L32" s="17">
        <f t="shared" si="9"/>
        <v>1618.2407494200002</v>
      </c>
      <c r="M32" s="17">
        <f t="shared" si="9"/>
        <v>405.26210298000001</v>
      </c>
      <c r="N32" s="17">
        <f t="shared" si="9"/>
        <v>345.15</v>
      </c>
      <c r="O32" s="17">
        <f t="shared" si="9"/>
        <v>4538035.204775665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Actividad'!$Z29*'FE Sectorial'!$H32*'FE Sectorial'!I32*'FE Sectorial'!P32/1000</f>
        <v>4492961.128074673</v>
      </c>
      <c r="I33" s="17">
        <f>'Datos Actividad'!$Z29*'FE Sectorial'!$H32*'FE Sectorial'!J32/1000/1000</f>
        <v>80.490888095999992</v>
      </c>
      <c r="J33" s="17">
        <f>'Datos Actividad'!$Z29*'FE Sectorial'!$H32*'FE Sectorial'!K32/1000/1000</f>
        <v>8.0490888096000006</v>
      </c>
      <c r="K33" s="17">
        <f>'Datos Actividad'!$Z29*'FE Sectorial'!$H32*'FE Sectorial'!L32/1000/1000</f>
        <v>12073.633214399999</v>
      </c>
      <c r="L33" s="17">
        <f>'Datos Actividad'!$Z29*'FE Sectorial'!$H32*'FE Sectorial'!M32/1000/1000</f>
        <v>1609.8177619200001</v>
      </c>
      <c r="M33" s="17">
        <f>'Datos Actividad'!$Z29*'FE Sectorial'!$H32*'FE Sectorial'!N32/1000/1000</f>
        <v>402.45444048000002</v>
      </c>
      <c r="N33" s="17">
        <f>'Datos Actividad'!$Z29*'FE Sectorial'!$H32*'FE Sectorial'!O32/1000/1000</f>
        <v>0</v>
      </c>
      <c r="O33" s="87">
        <f>IF(D33&lt;400,H33+I33*'Factores generales'!$M$41+J33*'Factores generales'!$N$41,I33*'Factores generales'!$M$41+J33*'Factores generales'!$N$41)</f>
        <v>4497146.6542556649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Actividad'!$Z30*'FE Sectorial'!$H33*'FE Sectorial'!I33*'FE Sectorial'!P33/1000</f>
        <v>0</v>
      </c>
      <c r="I34" s="17">
        <f>'Datos Actividad'!$Z30*'FE Sectorial'!$H33*'FE Sectorial'!J33/1000/1000</f>
        <v>0</v>
      </c>
      <c r="J34" s="17">
        <f>'Datos Actividad'!$Z30*'FE Sectorial'!$H33*'FE Sectorial'!K33/1000/1000</f>
        <v>0</v>
      </c>
      <c r="K34" s="17">
        <f>'Datos Actividad'!$Z30*'FE Sectorial'!$H33*'FE Sectorial'!L33/1000/1000</f>
        <v>0</v>
      </c>
      <c r="L34" s="17">
        <f>'Datos Actividad'!$Z30*'FE Sectorial'!$H33*'FE Sectorial'!M33/1000/1000</f>
        <v>0</v>
      </c>
      <c r="M34" s="17">
        <f>'Datos Actividad'!$Z30*'FE Sectorial'!$H33*'FE Sectorial'!N33/1000/1000</f>
        <v>0</v>
      </c>
      <c r="N34" s="17">
        <f>'Datos Actividad'!$Z30*'FE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Actividad'!$Z31*'FE Sectorial'!$H34*'FE Sectorial'!I34*'FE Sectorial'!P34/1000</f>
        <v>40748.7289275</v>
      </c>
      <c r="I35" s="17">
        <f>'Datos Actividad'!$Z31*'FE Sectorial'!$H34*'FE Sectorial'!J34/1000/1000</f>
        <v>1.6845975000000002</v>
      </c>
      <c r="J35" s="17">
        <f>'Datos Actividad'!$Z31*'FE Sectorial'!$H34*'FE Sectorial'!K34/1000/1000</f>
        <v>0.33691950000000004</v>
      </c>
      <c r="K35" s="17">
        <f>'Datos Actividad'!$Z31*'FE Sectorial'!$H34*'FE Sectorial'!L34/1000/1000</f>
        <v>112.3065</v>
      </c>
      <c r="L35" s="17">
        <f>'Datos Actividad'!$Z31*'FE Sectorial'!$H34*'FE Sectorial'!M34/1000/1000</f>
        <v>8.4229874999999996</v>
      </c>
      <c r="M35" s="17">
        <f>'Datos Actividad'!$Z31*'FE Sectorial'!$H34*'FE Sectorial'!N34/1000/1000</f>
        <v>2.8076624999999997</v>
      </c>
      <c r="N35" s="17">
        <f>'Datos Actividad'!$Z31*'FE Sectorial'!$H34*'FE Sectorial'!O34/1000/1000</f>
        <v>345.15</v>
      </c>
      <c r="O35" s="87">
        <f>IF(D35&lt;400,H35+I35*'Factores generales'!$M$41+J35*'Factores generales'!$N$41,I35*'Factores generales'!$M$41+J35*'Factores generales'!$N$41)</f>
        <v>40888.550519999997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16531874.370460484</v>
      </c>
      <c r="I36" s="129">
        <f t="shared" si="10"/>
        <v>2516.6003380384577</v>
      </c>
      <c r="J36" s="129">
        <f t="shared" si="10"/>
        <v>354.3165206276409</v>
      </c>
      <c r="K36" s="129">
        <f t="shared" si="10"/>
        <v>48575.550129576339</v>
      </c>
      <c r="L36" s="129">
        <f t="shared" si="10"/>
        <v>296905.49427173007</v>
      </c>
      <c r="M36" s="129">
        <f t="shared" si="10"/>
        <v>5116.9344893976922</v>
      </c>
      <c r="N36" s="129">
        <f t="shared" si="10"/>
        <v>6986.3316740844357</v>
      </c>
      <c r="O36" s="129">
        <f t="shared" si="10"/>
        <v>16768109.454217015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3054322.7850748217</v>
      </c>
      <c r="I37" s="134">
        <f t="shared" ref="I37:O37" si="11">SUM(I38:I44)</f>
        <v>22.061611310581142</v>
      </c>
      <c r="J37" s="134">
        <f t="shared" si="11"/>
        <v>16.73423130649671</v>
      </c>
      <c r="K37" s="134">
        <f t="shared" si="11"/>
        <v>4865.8206439555925</v>
      </c>
      <c r="L37" s="134">
        <f t="shared" si="11"/>
        <v>1907.1114972121713</v>
      </c>
      <c r="M37" s="134">
        <f t="shared" si="11"/>
        <v>265.96595128974781</v>
      </c>
      <c r="N37" s="134">
        <f t="shared" si="11"/>
        <v>0</v>
      </c>
      <c r="O37" s="134">
        <f t="shared" si="11"/>
        <v>3059973.6906173583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Actividad'!$Z34*'FE Sectorial'!$H37*'FE Sectorial'!I37*'FE Sectorial'!P37/1000</f>
        <v>0</v>
      </c>
      <c r="I38" s="17">
        <f>'Datos Actividad'!$Z34*'FE Sectorial'!$H37*'FE Sectorial'!J37/1000/1000</f>
        <v>0</v>
      </c>
      <c r="J38" s="17">
        <f>'Datos Actividad'!$Z34*'FE Sectorial'!$H37*'FE Sectorial'!K37/1000/1000</f>
        <v>0</v>
      </c>
      <c r="K38" s="17">
        <f>'Datos Actividad'!$Z34*'FE Sectorial'!$H37*'FE Sectorial'!L37/1000/1000</f>
        <v>0</v>
      </c>
      <c r="L38" s="17">
        <f>'Datos Actividad'!$Z34*'FE Sectorial'!$H37*'FE Sectorial'!M37/1000/1000</f>
        <v>0</v>
      </c>
      <c r="M38" s="17">
        <f>'Datos Actividad'!$Z34*'FE Sectorial'!$H37*'FE Sectorial'!N37/1000/1000</f>
        <v>0</v>
      </c>
      <c r="N38" s="17">
        <f>'Datos Actividad'!$Z34*'FE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Actividad'!$Z35*'FE Sectorial'!$H38*'FE Sectorial'!I38*'FE Sectorial'!P38/1000</f>
        <v>1865087.2834059377</v>
      </c>
      <c r="I39" s="17">
        <f>'Datos Actividad'!$Z35*'FE Sectorial'!$H38*'FE Sectorial'!J38/1000/1000</f>
        <v>7.2094599281250007</v>
      </c>
      <c r="J39" s="17">
        <f>'Datos Actividad'!$Z35*'FE Sectorial'!$H38*'FE Sectorial'!K38/1000/1000</f>
        <v>0.72094599281250005</v>
      </c>
      <c r="K39" s="17">
        <f>'Datos Actividad'!$Z35*'FE Sectorial'!$H38*'FE Sectorial'!L38/1000/1000</f>
        <v>1081.4189892187501</v>
      </c>
      <c r="L39" s="17">
        <f>'Datos Actividad'!$Z35*'FE Sectorial'!$H38*'FE Sectorial'!M38/1000/1000</f>
        <v>216.28379784375005</v>
      </c>
      <c r="M39" s="17">
        <f>'Datos Actividad'!$Z35*'FE Sectorial'!$H38*'FE Sectorial'!N38/1000/1000</f>
        <v>36.047299640624999</v>
      </c>
      <c r="N39" s="17">
        <f>'Datos Actividad'!$Z35*'FE Sectorial'!$H38*'FE Sectorial'!O38/1000/1000</f>
        <v>0</v>
      </c>
      <c r="O39" s="87">
        <f>IF(D39&lt;400,H39+I39*'Factores generales'!$M$41+J39*'Factores generales'!$N$41,I39*'Factores generales'!$M$41+J39*'Factores generales'!$N$41)</f>
        <v>1865462.1753222004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Actividad'!$Z36*'FE Sectorial'!$H39*'FE Sectorial'!I39*'FE Sectorial'!P39/1000</f>
        <v>197694.7121952</v>
      </c>
      <c r="I40" s="17">
        <f>'Datos Actividad'!$Z36*'FE Sectorial'!$H39*'FE Sectorial'!J39/1000/1000</f>
        <v>4.4749584000000002</v>
      </c>
      <c r="J40" s="17">
        <f>'Datos Actividad'!$Z36*'FE Sectorial'!$H39*'FE Sectorial'!K39/1000/1000</f>
        <v>0.44749584000000009</v>
      </c>
      <c r="K40" s="17">
        <f>'Datos Actividad'!$Z36*'FE Sectorial'!$H39*'FE Sectorial'!L39/1000/1000</f>
        <v>671.24376000000007</v>
      </c>
      <c r="L40" s="17">
        <f>'Datos Actividad'!$Z36*'FE Sectorial'!$H39*'FE Sectorial'!M39/1000/1000</f>
        <v>134.248752</v>
      </c>
      <c r="M40" s="17">
        <f>'Datos Actividad'!$Z36*'FE Sectorial'!$H39*'FE Sectorial'!N39/1000/1000</f>
        <v>22.374792000000003</v>
      </c>
      <c r="N40" s="17">
        <f>'Datos Actividad'!$Z36*'FE Sectorial'!$H39*'FE Sectorial'!O39/1000/1000</f>
        <v>0</v>
      </c>
      <c r="O40" s="87">
        <f>IF(D40&lt;400,H40+I40*'Factores generales'!$M$41+J40*'Factores generales'!$N$41,I40*'Factores generales'!$M$41+J40*'Factores generales'!$N$41)</f>
        <v>197927.41003199999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Actividad'!$Z37*'FE Sectorial'!$H40*'FE Sectorial'!I40*'FE Sectorial'!P40/1000</f>
        <v>0</v>
      </c>
      <c r="I41" s="17">
        <f>'Datos Actividad'!$Z37*'FE Sectorial'!$H40*'FE Sectorial'!J40/1000/1000</f>
        <v>0</v>
      </c>
      <c r="J41" s="17">
        <f>'Datos Actividad'!$Z37*'FE Sectorial'!$H40*'FE Sectorial'!K40/1000/1000</f>
        <v>0</v>
      </c>
      <c r="K41" s="17">
        <f>'Datos Actividad'!$Z37*'FE Sectorial'!$H40*'FE Sectorial'!L40/1000/1000</f>
        <v>0</v>
      </c>
      <c r="L41" s="17">
        <f>'Datos Actividad'!$Z37*'FE Sectorial'!$H40*'FE Sectorial'!M40/1000/1000</f>
        <v>0</v>
      </c>
      <c r="M41" s="17">
        <f>'Datos Actividad'!$Z37*'FE Sectorial'!$H40*'FE Sectorial'!N40/1000/1000</f>
        <v>0</v>
      </c>
      <c r="N41" s="17">
        <f>'Datos Actividad'!$Z37*'FE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Actividad'!$Z38*'FE Sectorial'!$H41*'FE Sectorial'!I41*'FE Sectorial'!P41/1000</f>
        <v>0</v>
      </c>
      <c r="I42" s="17">
        <f>'Datos Actividad'!$Z38*'FE Sectorial'!$H41*'FE Sectorial'!J41/1000/1000</f>
        <v>0</v>
      </c>
      <c r="J42" s="17">
        <f>'Datos Actividad'!$Z38*'FE Sectorial'!$H41*'FE Sectorial'!K41/1000/1000</f>
        <v>0</v>
      </c>
      <c r="K42" s="17">
        <f>'Datos Actividad'!$Z38*'FE Sectorial'!$H41*'FE Sectorial'!L41/1000/1000</f>
        <v>0</v>
      </c>
      <c r="L42" s="17">
        <f>'Datos Actividad'!$Z38*'FE Sectorial'!$H41*'FE Sectorial'!M41/1000/1000</f>
        <v>0</v>
      </c>
      <c r="M42" s="17">
        <f>'Datos Actividad'!$Z38*'FE Sectorial'!$H41*'FE Sectorial'!N41/1000/1000</f>
        <v>0</v>
      </c>
      <c r="N42" s="17">
        <f>'Datos Actividad'!$Z38*'FE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Actividad'!$Z39*'FE Sectorial'!$H42*'FE Sectorial'!I42*'FE Sectorial'!P42/1000</f>
        <v>551612.66447368427</v>
      </c>
      <c r="I43" s="17">
        <f>'Datos Actividad'!$Z39*'FE Sectorial'!$H42*'FE Sectorial'!J42/1000/1000</f>
        <v>5.7730263157894743</v>
      </c>
      <c r="J43" s="17">
        <f>'Datos Actividad'!$Z39*'FE Sectorial'!$H42*'FE Sectorial'!K42/1000/1000</f>
        <v>8.6595394736842124</v>
      </c>
      <c r="K43" s="17">
        <f>'Datos Actividad'!$Z39*'FE Sectorial'!$H42*'FE Sectorial'!L42/1000/1000</f>
        <v>1731.9078947368423</v>
      </c>
      <c r="L43" s="17">
        <f>'Datos Actividad'!$Z39*'FE Sectorial'!$H42*'FE Sectorial'!M42/1000/1000</f>
        <v>865.95394736842115</v>
      </c>
      <c r="M43" s="17">
        <f>'Datos Actividad'!$Z39*'FE Sectorial'!$H42*'FE Sectorial'!N42/1000/1000</f>
        <v>115.46052631578949</v>
      </c>
      <c r="N43" s="17">
        <f>'Datos Actividad'!$Z39*'FE Sectorial'!$H42*'FE Sectorial'!O42/1000/1000</f>
        <v>0</v>
      </c>
      <c r="O43" s="87">
        <f>IF(D43&lt;400,H43+I43*'Factores generales'!$M$41+J43*'Factores generales'!$N$41,I43*'Factores generales'!$M$41+J43*'Factores generales'!$N$41)</f>
        <v>554418.35526315798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Actividad'!$Z40*'FE Sectorial'!$H43*'FE Sectorial'!I43*'FE Sectorial'!P43/1000</f>
        <v>439928.12499999994</v>
      </c>
      <c r="I44" s="17">
        <f>'Datos Actividad'!$Z40*'FE Sectorial'!$H43*'FE Sectorial'!J43/1000/1000</f>
        <v>4.6041666666666661</v>
      </c>
      <c r="J44" s="17">
        <f>'Datos Actividad'!$Z40*'FE Sectorial'!$H43*'FE Sectorial'!K43/1000/1000</f>
        <v>6.90625</v>
      </c>
      <c r="K44" s="17">
        <f>'Datos Actividad'!$Z40*'FE Sectorial'!$H43*'FE Sectorial'!L43/1000/1000</f>
        <v>1381.2499999999998</v>
      </c>
      <c r="L44" s="17">
        <f>'Datos Actividad'!$Z40*'FE Sectorial'!$H43*'FE Sectorial'!M43/1000/1000</f>
        <v>690.62499999999989</v>
      </c>
      <c r="M44" s="17">
        <f>'Datos Actividad'!$Z40*'FE Sectorial'!$H43*'FE Sectorial'!N43/1000/1000</f>
        <v>92.083333333333314</v>
      </c>
      <c r="N44" s="17">
        <f>'Datos Actividad'!$Z40*'FE Sectorial'!$H43*'FE Sectorial'!O43/1000/1000</f>
        <v>0</v>
      </c>
      <c r="O44" s="87">
        <f>IF(D44&lt;400,H44+I44*'Factores generales'!$M$41+J44*'Factores generales'!$N$41,I44*'Factores generales'!$M$41+J44*'Factores generales'!$N$41)</f>
        <v>442165.74999999994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Actividad'!$Z42*'FE Sectorial'!$H45*'FE Sectorial'!I45*'FE Sectorial'!P45/1000</f>
        <v>0</v>
      </c>
      <c r="I46" s="17">
        <f>'Datos Actividad'!$Z42*'FE Sectorial'!$H45*'FE Sectorial'!J45/1000/1000</f>
        <v>0</v>
      </c>
      <c r="J46" s="17">
        <f>'Datos Actividad'!$Z42*'FE Sectorial'!$H45*'FE Sectorial'!K45/1000/1000</f>
        <v>0</v>
      </c>
      <c r="K46" s="17">
        <f>'Datos Actividad'!$Z42*'FE Sectorial'!$H45*'FE Sectorial'!L45/1000/1000</f>
        <v>0</v>
      </c>
      <c r="L46" s="17">
        <f>'Datos Actividad'!$Z42*'FE Sectorial'!$H45*'FE Sectorial'!M45/1000/1000</f>
        <v>0</v>
      </c>
      <c r="M46" s="17">
        <f>'Datos Actividad'!$Z42*'FE Sectorial'!$H45*'FE Sectorial'!N45/1000/1000</f>
        <v>0</v>
      </c>
      <c r="N46" s="17">
        <f>'Datos Actividad'!$Z42*'FE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62140.307898240004</v>
      </c>
      <c r="I47" s="134">
        <f t="shared" ref="I47:O47" si="13">SUM(I48:I55)</f>
        <v>270.95935197480691</v>
      </c>
      <c r="J47" s="134">
        <f t="shared" si="13"/>
        <v>37.143745746851444</v>
      </c>
      <c r="K47" s="134">
        <f t="shared" si="13"/>
        <v>1290.5758526739178</v>
      </c>
      <c r="L47" s="134">
        <f t="shared" si="13"/>
        <v>36028.703788609331</v>
      </c>
      <c r="M47" s="134">
        <f t="shared" si="13"/>
        <v>469.32491546327464</v>
      </c>
      <c r="N47" s="134">
        <f t="shared" si="13"/>
        <v>0</v>
      </c>
      <c r="O47" s="134">
        <f t="shared" si="13"/>
        <v>152893.37073439278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Actividad'!$Z44*'FE Sectorial'!$H47*'FE Sectorial'!I47*'FE Sectorial'!P47/1000</f>
        <v>0</v>
      </c>
      <c r="I48" s="17">
        <f>'Datos Actividad'!$Z44*'FE Sectorial'!$H47*'FE Sectorial'!J47/1000/1000</f>
        <v>0</v>
      </c>
      <c r="J48" s="17">
        <f>'Datos Actividad'!$Z44*'FE Sectorial'!$H47*'FE Sectorial'!K47/1000/1000</f>
        <v>0</v>
      </c>
      <c r="K48" s="17">
        <f>'Datos Actividad'!$Z44*'FE Sectorial'!$H47*'FE Sectorial'!L47/1000/1000</f>
        <v>0</v>
      </c>
      <c r="L48" s="17">
        <f>'Datos Actividad'!$Z44*'FE Sectorial'!$H47*'FE Sectorial'!M47/1000/1000</f>
        <v>0</v>
      </c>
      <c r="M48" s="17">
        <f>'Datos Actividad'!$Z44*'FE Sectorial'!$H47*'FE Sectorial'!N47/1000/1000</f>
        <v>0</v>
      </c>
      <c r="N48" s="17">
        <f>'Datos Actividad'!$Z44*'FE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Actividad'!$Z45*'FE Sectorial'!$H48*'FE Sectorial'!I48*'FE Sectorial'!P48/1000</f>
        <v>62140.307898240004</v>
      </c>
      <c r="I49" s="17">
        <f>'Datos Actividad'!$Z45*'FE Sectorial'!$H48*'FE Sectorial'!J48/1000/1000</f>
        <v>1.0842460200000001</v>
      </c>
      <c r="J49" s="17">
        <f>'Datos Actividad'!$Z45*'FE Sectorial'!$H48*'FE Sectorial'!K48/1000/1000</f>
        <v>0.10842460200000001</v>
      </c>
      <c r="K49" s="17">
        <f>'Datos Actividad'!$Z45*'FE Sectorial'!$H48*'FE Sectorial'!L48/1000/1000</f>
        <v>162.63690299999999</v>
      </c>
      <c r="L49" s="17">
        <f>'Datos Actividad'!$Z45*'FE Sectorial'!$H48*'FE Sectorial'!M48/1000/1000</f>
        <v>32.527380600000001</v>
      </c>
      <c r="M49" s="17">
        <f>'Datos Actividad'!$Z45*'FE Sectorial'!$H48*'FE Sectorial'!N48/1000/1000</f>
        <v>5.4212300999999998</v>
      </c>
      <c r="N49" s="17">
        <f>'Datos Actividad'!$Z45*'FE Sectorial'!$H48*'FE Sectorial'!O48/1000/1000</f>
        <v>0</v>
      </c>
      <c r="O49" s="87">
        <f>IF(D49&lt;400,H49+I49*'Factores generales'!$M$41+J49*'Factores generales'!$N$41,I49*'Factores generales'!$M$41+J49*'Factores generales'!$N$41)</f>
        <v>62196.688691280004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Actividad'!$Z46*'FE Sectorial'!$H49*'FE Sectorial'!I49*'FE Sectorial'!P49/1000</f>
        <v>0</v>
      </c>
      <c r="I50" s="17">
        <f>'Datos Actividad'!$Z46*'FE Sectorial'!$H49*'FE Sectorial'!J49/1000/1000</f>
        <v>0</v>
      </c>
      <c r="J50" s="17">
        <f>'Datos Actividad'!$Z46*'FE Sectorial'!$H49*'FE Sectorial'!K49/1000/1000</f>
        <v>0</v>
      </c>
      <c r="K50" s="17">
        <f>'Datos Actividad'!$Z46*'FE Sectorial'!$H49*'FE Sectorial'!L49/1000/1000</f>
        <v>0</v>
      </c>
      <c r="L50" s="17">
        <f>'Datos Actividad'!$Z46*'FE Sectorial'!$H49*'FE Sectorial'!M49/1000/1000</f>
        <v>0</v>
      </c>
      <c r="M50" s="17">
        <f>'Datos Actividad'!$Z46*'FE Sectorial'!$H49*'FE Sectorial'!N49/1000/1000</f>
        <v>0</v>
      </c>
      <c r="N50" s="17">
        <f>'Datos Actividad'!$Z46*'FE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Actividad'!$Z47*'FE Sectorial'!$H50*'FE Sectorial'!I50*'FE Sectorial'!P50/1000</f>
        <v>0</v>
      </c>
      <c r="I51" s="17">
        <f>'Datos Actividad'!$Z47*'FE Sectorial'!$H50*'FE Sectorial'!J50/1000/1000</f>
        <v>0</v>
      </c>
      <c r="J51" s="17">
        <f>'Datos Actividad'!$Z47*'FE Sectorial'!$H50*'FE Sectorial'!K50/1000/1000</f>
        <v>0</v>
      </c>
      <c r="K51" s="17">
        <f>'Datos Actividad'!$Z47*'FE Sectorial'!$H50*'FE Sectorial'!L50/1000/1000</f>
        <v>0</v>
      </c>
      <c r="L51" s="17">
        <f>'Datos Actividad'!$Z47*'FE Sectorial'!$H50*'FE Sectorial'!M50/1000/1000</f>
        <v>0</v>
      </c>
      <c r="M51" s="17">
        <f>'Datos Actividad'!$Z47*'FE Sectorial'!$H50*'FE Sectorial'!N50/1000/1000</f>
        <v>0</v>
      </c>
      <c r="N51" s="17">
        <f>'Datos Actividad'!$Z47*'FE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Actividad'!$Z48*'FE Sectorial'!$H51*'FE Sectorial'!I51*'FE Sectorial'!P51/1000</f>
        <v>0</v>
      </c>
      <c r="I52" s="17">
        <f>'Datos Actividad'!$Z48*'FE Sectorial'!$H51*'FE Sectorial'!J51/1000/1000</f>
        <v>0</v>
      </c>
      <c r="J52" s="17">
        <f>'Datos Actividad'!$Z48*'FE Sectorial'!$H51*'FE Sectorial'!K51/1000/1000</f>
        <v>0</v>
      </c>
      <c r="K52" s="17">
        <f>'Datos Actividad'!$Z48*'FE Sectorial'!$H51*'FE Sectorial'!L51/1000/1000</f>
        <v>0</v>
      </c>
      <c r="L52" s="17">
        <f>'Datos Actividad'!$Z48*'FE Sectorial'!$H51*'FE Sectorial'!M51/1000/1000</f>
        <v>0</v>
      </c>
      <c r="M52" s="17">
        <f>'Datos Actividad'!$Z48*'FE Sectorial'!$H51*'FE Sectorial'!N51/1000/1000</f>
        <v>0</v>
      </c>
      <c r="N52" s="17">
        <f>'Datos Actividad'!$Z48*'FE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Actividad'!$Z49*'FE Sectorial'!$H52*'FE Sectorial'!I52*'FE Sectorial'!P52/1000</f>
        <v>780405.57042683475</v>
      </c>
      <c r="I53" s="17">
        <f>'Datos Actividad'!$Z49*'FE Sectorial'!$H52*'FE Sectorial'!J52/1000/1000</f>
        <v>269.10536911270162</v>
      </c>
      <c r="J53" s="17">
        <f>'Datos Actividad'!$Z49*'FE Sectorial'!$H52*'FE Sectorial'!K52/1000/1000</f>
        <v>35.880715881693547</v>
      </c>
      <c r="K53" s="17">
        <f>'Datos Actividad'!$Z49*'FE Sectorial'!$H52*'FE Sectorial'!L52/1000/1000</f>
        <v>897.01789704233875</v>
      </c>
      <c r="L53" s="17">
        <f>'Datos Actividad'!$Z49*'FE Sectorial'!$H52*'FE Sectorial'!M52/1000/1000</f>
        <v>35880.715881693548</v>
      </c>
      <c r="M53" s="17">
        <f>'Datos Actividad'!$Z49*'FE Sectorial'!$H52*'FE Sectorial'!N52/1000/1000</f>
        <v>448.50894852116937</v>
      </c>
      <c r="N53" s="17">
        <f>'Datos Actividad'!$Z49*'FE Sectorial'!$H52*'FE Sectorial'!O52/1000/1000</f>
        <v>0</v>
      </c>
      <c r="O53" s="87">
        <f>IF(D53&lt;400,H53+I53*'Factores generales'!$M$41+J53*'Factores generales'!$N$41,I53*'Factores generales'!$M$41+J53*'Factores generales'!$N$41)</f>
        <v>16774.234674691732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Actividad'!$Z50*'FE Sectorial'!$H53*'FE Sectorial'!I53*'FE Sectorial'!P53/1000</f>
        <v>73548.355263157893</v>
      </c>
      <c r="I54" s="17">
        <f>'Datos Actividad'!$Z50*'FE Sectorial'!$H53*'FE Sectorial'!J53/1000/1000</f>
        <v>0.76973684210526316</v>
      </c>
      <c r="J54" s="17">
        <f>'Datos Actividad'!$Z50*'FE Sectorial'!$H53*'FE Sectorial'!K53/1000/1000</f>
        <v>1.1546052631578947</v>
      </c>
      <c r="K54" s="17">
        <f>'Datos Actividad'!$Z50*'FE Sectorial'!$H53*'FE Sectorial'!L53/1000/1000</f>
        <v>230.92105263157896</v>
      </c>
      <c r="L54" s="17">
        <f>'Datos Actividad'!$Z50*'FE Sectorial'!$H53*'FE Sectorial'!M53/1000/1000</f>
        <v>115.46052631578948</v>
      </c>
      <c r="M54" s="17">
        <f>'Datos Actividad'!$Z50*'FE Sectorial'!$H53*'FE Sectorial'!N53/1000/1000</f>
        <v>15.394736842105262</v>
      </c>
      <c r="N54" s="17">
        <f>'Datos Actividad'!$Z50*'FE Sectorial'!$H53*'FE Sectorial'!O53/1000/1000</f>
        <v>0</v>
      </c>
      <c r="O54" s="87">
        <f>IF(D54&lt;400,H54+I54*'Factores generales'!$M$41+J54*'Factores generales'!$N$41,I54*'Factores generales'!$M$41+J54*'Factores generales'!$N$41)</f>
        <v>73922.447368421053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Actividad'!$Z51*'FE Sectorial'!$H54*'FE Sectorial'!I54*'FE Sectorial'!P54/1000</f>
        <v>0</v>
      </c>
      <c r="I55" s="17">
        <f>'Datos Actividad'!$Z51*'FE Sectorial'!$H54*'FE Sectorial'!J54/1000/1000</f>
        <v>0</v>
      </c>
      <c r="J55" s="17">
        <f>'Datos Actividad'!$Z51*'FE Sectorial'!$H54*'FE Sectorial'!K54/1000/1000</f>
        <v>0</v>
      </c>
      <c r="K55" s="17">
        <f>'Datos Actividad'!$Z51*'FE Sectorial'!$H54*'FE Sectorial'!L54/1000/1000</f>
        <v>0</v>
      </c>
      <c r="L55" s="17">
        <f>'Datos Actividad'!$Z51*'FE Sectorial'!$H54*'FE Sectorial'!M54/1000/1000</f>
        <v>0</v>
      </c>
      <c r="M55" s="17">
        <f>'Datos Actividad'!$Z51*'FE Sectorial'!$H54*'FE Sectorial'!N54/1000/1000</f>
        <v>0</v>
      </c>
      <c r="N55" s="17">
        <f>'Datos Actividad'!$Z51*'FE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519.01428980217884</v>
      </c>
      <c r="J56" s="134">
        <f t="shared" ref="J56:O56" si="14">SUM(J57:J62)</f>
        <v>69.201905306957173</v>
      </c>
      <c r="K56" s="134">
        <f t="shared" si="14"/>
        <v>1730.0476326739295</v>
      </c>
      <c r="L56" s="134">
        <f t="shared" si="14"/>
        <v>64661.369306957175</v>
      </c>
      <c r="M56" s="134">
        <f t="shared" si="14"/>
        <v>865.02381633696473</v>
      </c>
      <c r="N56" s="134">
        <f t="shared" si="14"/>
        <v>582.12</v>
      </c>
      <c r="O56" s="134">
        <f t="shared" si="14"/>
        <v>32351.890731002481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Actividad'!$Z53*'FE Sectorial'!$H56*'FE Sectorial'!I56*'FE Sectorial'!P56/1000</f>
        <v>0</v>
      </c>
      <c r="I57" s="17">
        <f>'Datos Actividad'!$Z53*'FE Sectorial'!$H56*'FE Sectorial'!J56/1000/1000</f>
        <v>0</v>
      </c>
      <c r="J57" s="17">
        <f>'Datos Actividad'!$Z53*'FE Sectorial'!$H56*'FE Sectorial'!K56/1000/1000</f>
        <v>0</v>
      </c>
      <c r="K57" s="17">
        <f>'Datos Actividad'!$Z53*'FE Sectorial'!$H56*'FE Sectorial'!L56/1000/1000</f>
        <v>0</v>
      </c>
      <c r="L57" s="17">
        <f>'Datos Actividad'!$Z53*'FE Sectorial'!$H56*'FE Sectorial'!M56/1000/1000</f>
        <v>0</v>
      </c>
      <c r="M57" s="17">
        <f>'Datos Actividad'!$Z53*'FE Sectorial'!$H56*'FE Sectorial'!N56/1000/1000</f>
        <v>0</v>
      </c>
      <c r="N57" s="17">
        <f>'Datos Actividad'!$Z53*'FE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Actividad'!$Z54*'FE Sectorial'!$H57*'FE Sectorial'!I57*'FE Sectorial'!P57/1000</f>
        <v>0</v>
      </c>
      <c r="I58" s="17">
        <f>'Datos Actividad'!$Z54*'FE Sectorial'!$H57*'FE Sectorial'!J57/1000/1000</f>
        <v>0</v>
      </c>
      <c r="J58" s="17">
        <f>'Datos Actividad'!$Z54*'FE Sectorial'!$H57*'FE Sectorial'!K57/1000/1000</f>
        <v>0</v>
      </c>
      <c r="K58" s="17">
        <f>'Datos Actividad'!$Z54*'FE Sectorial'!$H57*'FE Sectorial'!L57/1000/1000</f>
        <v>0</v>
      </c>
      <c r="L58" s="17">
        <f>'Datos Actividad'!$Z54*'FE Sectorial'!$H57*'FE Sectorial'!M57/1000/1000</f>
        <v>0</v>
      </c>
      <c r="M58" s="17">
        <f>'Datos Actividad'!$Z54*'FE Sectorial'!$H57*'FE Sectorial'!N57/1000/1000</f>
        <v>0</v>
      </c>
      <c r="N58" s="17">
        <f>'Datos Actividad'!$Z54*'FE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Actividad'!$Z55*'FE Sectorial'!$H58*'FE Sectorial'!I58*'FE Sectorial'!P58/1000</f>
        <v>0</v>
      </c>
      <c r="I59" s="17">
        <f>'Datos Actividad'!$Z55*'FE Sectorial'!$H58*'FE Sectorial'!J58/1000/1000</f>
        <v>0</v>
      </c>
      <c r="J59" s="17">
        <f>'Datos Actividad'!$Z55*'FE Sectorial'!$H58*'FE Sectorial'!K58/1000/1000</f>
        <v>0</v>
      </c>
      <c r="K59" s="17">
        <f>'Datos Actividad'!$Z55*'FE Sectorial'!$H58*'FE Sectorial'!L58/1000/1000</f>
        <v>0</v>
      </c>
      <c r="L59" s="17">
        <f>'Datos Actividad'!$Z55*'FE Sectorial'!$H58*'FE Sectorial'!M58/1000/1000</f>
        <v>0</v>
      </c>
      <c r="M59" s="17">
        <f>'Datos Actividad'!$Z55*'FE Sectorial'!$H58*'FE Sectorial'!N58/1000/1000</f>
        <v>0</v>
      </c>
      <c r="N59" s="17">
        <f>'Datos Actividad'!$Z55*'FE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Actividad'!$Z56*'FE Sectorial'!$H59*'FE Sectorial'!I59*'FE Sectorial'!P59/1000</f>
        <v>446066.39999999991</v>
      </c>
      <c r="I60" s="17">
        <f>'Datos Actividad'!$Z56*'FE Sectorial'!$H59*'FE Sectorial'!J59/1000/1000</f>
        <v>153.81599999999997</v>
      </c>
      <c r="J60" s="17">
        <f>'Datos Actividad'!$Z56*'FE Sectorial'!$H59*'FE Sectorial'!K59/1000/1000</f>
        <v>20.508799999999997</v>
      </c>
      <c r="K60" s="17">
        <f>'Datos Actividad'!$Z56*'FE Sectorial'!$H59*'FE Sectorial'!L59/1000/1000</f>
        <v>512.71999999999991</v>
      </c>
      <c r="L60" s="17">
        <f>'Datos Actividad'!$Z56*'FE Sectorial'!$H59*'FE Sectorial'!M59/1000/1000</f>
        <v>20508.799999999996</v>
      </c>
      <c r="M60" s="17">
        <f>'Datos Actividad'!$Z56*'FE Sectorial'!$H59*'FE Sectorial'!N59/1000/1000</f>
        <v>256.35999999999996</v>
      </c>
      <c r="N60" s="17">
        <f>'Datos Actividad'!$Z56*'FE Sectorial'!$H59*'FE Sectorial'!O59/1000/1000</f>
        <v>0</v>
      </c>
      <c r="O60" s="87">
        <f>IF(D60&lt;400,H60+I60*'Factores generales'!$M$41+J60*'Factores generales'!$N$41,I60*'Factores generales'!$M$41+J60*'Factores generales'!$N$41)</f>
        <v>9587.8639999999978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Actividad'!$Z57*'FE Sectorial'!$H60*'FE Sectorial'!I60*'FE Sectorial'!P60/1000</f>
        <v>221214.91391999999</v>
      </c>
      <c r="I61" s="17">
        <f>'Datos Actividad'!$Z57*'FE Sectorial'!$H60*'FE Sectorial'!J60/1000/1000</f>
        <v>68.108039999999988</v>
      </c>
      <c r="J61" s="17">
        <f>'Datos Actividad'!$Z57*'FE Sectorial'!$H60*'FE Sectorial'!K60/1000/1000</f>
        <v>9.0810720000000007</v>
      </c>
      <c r="K61" s="17">
        <f>'Datos Actividad'!$Z57*'FE Sectorial'!$H60*'FE Sectorial'!L60/1000/1000</f>
        <v>227.02679999999998</v>
      </c>
      <c r="L61" s="17">
        <f>'Datos Actividad'!$Z57*'FE Sectorial'!$H60*'FE Sectorial'!M60/1000/1000</f>
        <v>4540.5360000000001</v>
      </c>
      <c r="M61" s="17">
        <f>'Datos Actividad'!$Z57*'FE Sectorial'!$H60*'FE Sectorial'!N60/1000/1000</f>
        <v>113.51339999999999</v>
      </c>
      <c r="N61" s="17">
        <f>'Datos Actividad'!$Z57*'FE Sectorial'!$H60*'FE Sectorial'!O60/1000/1000</f>
        <v>582.12</v>
      </c>
      <c r="O61" s="87">
        <f>IF(D61&lt;400,H61+I61*'Factores generales'!$M$41+J61*'Factores generales'!$N$41,I61*'Factores generales'!$M$41+J61*'Factores generales'!$N$41)</f>
        <v>4245.4011599999994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Actividad'!$Z58*'FE Sectorial'!$H61*'FE Sectorial'!I61*'FE Sectorial'!P61/1000</f>
        <v>861561.72442631866</v>
      </c>
      <c r="I62" s="17">
        <f>'Datos Actividad'!$Z58*'FE Sectorial'!$H61*'FE Sectorial'!J61/1000/1000</f>
        <v>297.0902498021789</v>
      </c>
      <c r="J62" s="17">
        <f>'Datos Actividad'!$Z58*'FE Sectorial'!$H61*'FE Sectorial'!K61/1000/1000</f>
        <v>39.61203330695718</v>
      </c>
      <c r="K62" s="17">
        <f>'Datos Actividad'!$Z58*'FE Sectorial'!$H61*'FE Sectorial'!L61/1000/1000</f>
        <v>990.30083267392945</v>
      </c>
      <c r="L62" s="17">
        <f>'Datos Actividad'!$Z58*'FE Sectorial'!$H61*'FE Sectorial'!M61/1000/1000</f>
        <v>39612.033306957179</v>
      </c>
      <c r="M62" s="17">
        <f>'Datos Actividad'!$Z58*'FE Sectorial'!$H61*'FE Sectorial'!N61/1000/1000</f>
        <v>495.15041633696472</v>
      </c>
      <c r="N62" s="17">
        <f>'Datos Actividad'!$Z58*'FE Sectorial'!$H61*'FE Sectorial'!O61/1000/1000</f>
        <v>0</v>
      </c>
      <c r="O62" s="87">
        <f>IF(D62&lt;400,H62+I62*'Factores generales'!$M$41+J62*'Factores generales'!$N$41,I62*'Factores generales'!$M$41+J62*'Factores generales'!$N$41)</f>
        <v>18518.625571002485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1151.463373793626</v>
      </c>
      <c r="J63" s="134">
        <f t="shared" ref="J63:O63" si="15">SUM(J64:J69)</f>
        <v>153.52844983915014</v>
      </c>
      <c r="K63" s="134">
        <f t="shared" si="15"/>
        <v>3838.2112459787531</v>
      </c>
      <c r="L63" s="134">
        <f t="shared" si="15"/>
        <v>153482.58583915012</v>
      </c>
      <c r="M63" s="134">
        <f t="shared" si="15"/>
        <v>1919.1056229893766</v>
      </c>
      <c r="N63" s="134">
        <f t="shared" si="15"/>
        <v>5.88</v>
      </c>
      <c r="O63" s="134">
        <f t="shared" si="15"/>
        <v>71774.550299802693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Actividad'!$Z60*'FE Sectorial'!$H63*'FE Sectorial'!I63*'FE Sectorial'!P63/1000</f>
        <v>0</v>
      </c>
      <c r="I64" s="17">
        <f>'Datos Actividad'!$Z60*'FE Sectorial'!$H63*'FE Sectorial'!J63/1000/1000</f>
        <v>0</v>
      </c>
      <c r="J64" s="17">
        <f>'Datos Actividad'!$Z60*'FE Sectorial'!$H63*'FE Sectorial'!K63/1000/1000</f>
        <v>0</v>
      </c>
      <c r="K64" s="17">
        <f>'Datos Actividad'!$Z60*'FE Sectorial'!$H63*'FE Sectorial'!L63/1000/1000</f>
        <v>0</v>
      </c>
      <c r="L64" s="17">
        <f>'Datos Actividad'!$Z60*'FE Sectorial'!$H63*'FE Sectorial'!M63/1000/1000</f>
        <v>0</v>
      </c>
      <c r="M64" s="17">
        <f>'Datos Actividad'!$Z60*'FE Sectorial'!$H63*'FE Sectorial'!N63/1000/1000</f>
        <v>0</v>
      </c>
      <c r="N64" s="17">
        <f>'Datos Actividad'!$Z60*'FE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Actividad'!$Z61*'FE Sectorial'!$H64*'FE Sectorial'!I64*'FE Sectorial'!P64/1000</f>
        <v>0</v>
      </c>
      <c r="I65" s="17">
        <f>'Datos Actividad'!$Z61*'FE Sectorial'!$H64*'FE Sectorial'!J64/1000/1000</f>
        <v>0</v>
      </c>
      <c r="J65" s="17">
        <f>'Datos Actividad'!$Z61*'FE Sectorial'!$H64*'FE Sectorial'!K64/1000/1000</f>
        <v>0</v>
      </c>
      <c r="K65" s="17">
        <f>'Datos Actividad'!$Z61*'FE Sectorial'!$H64*'FE Sectorial'!L64/1000/1000</f>
        <v>0</v>
      </c>
      <c r="L65" s="17">
        <f>'Datos Actividad'!$Z61*'FE Sectorial'!$H64*'FE Sectorial'!M64/1000/1000</f>
        <v>0</v>
      </c>
      <c r="M65" s="17">
        <f>'Datos Actividad'!$Z61*'FE Sectorial'!$H64*'FE Sectorial'!N64/1000/1000</f>
        <v>0</v>
      </c>
      <c r="N65" s="17">
        <f>'Datos Actividad'!$Z61*'FE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Actividad'!$Z62*'FE Sectorial'!$H65*'FE Sectorial'!I65*'FE Sectorial'!P65/1000</f>
        <v>0</v>
      </c>
      <c r="I66" s="17">
        <f>'Datos Actividad'!$Z62*'FE Sectorial'!$H65*'FE Sectorial'!J65/1000/1000</f>
        <v>0</v>
      </c>
      <c r="J66" s="17">
        <f>'Datos Actividad'!$Z62*'FE Sectorial'!$H65*'FE Sectorial'!K65/1000/1000</f>
        <v>0</v>
      </c>
      <c r="K66" s="17">
        <f>'Datos Actividad'!$Z62*'FE Sectorial'!$H65*'FE Sectorial'!L65/1000/1000</f>
        <v>0</v>
      </c>
      <c r="L66" s="17">
        <f>'Datos Actividad'!$Z62*'FE Sectorial'!$H65*'FE Sectorial'!M65/1000/1000</f>
        <v>0</v>
      </c>
      <c r="M66" s="17">
        <f>'Datos Actividad'!$Z62*'FE Sectorial'!$H65*'FE Sectorial'!N65/1000/1000</f>
        <v>0</v>
      </c>
      <c r="N66" s="17">
        <f>'Datos Actividad'!$Z62*'FE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Actividad'!$Z63*'FE Sectorial'!$H66*'FE Sectorial'!I66*'FE Sectorial'!P66/1000</f>
        <v>2527709.5999999996</v>
      </c>
      <c r="I67" s="17">
        <f>'Datos Actividad'!$Z63*'FE Sectorial'!$H66*'FE Sectorial'!J66/1000/1000</f>
        <v>871.62400000000002</v>
      </c>
      <c r="J67" s="17">
        <f>'Datos Actividad'!$Z63*'FE Sectorial'!$H66*'FE Sectorial'!K66/1000/1000</f>
        <v>116.21653333333333</v>
      </c>
      <c r="K67" s="17">
        <f>'Datos Actividad'!$Z63*'FE Sectorial'!$H66*'FE Sectorial'!L66/1000/1000</f>
        <v>2905.413333333333</v>
      </c>
      <c r="L67" s="17">
        <f>'Datos Actividad'!$Z63*'FE Sectorial'!$H66*'FE Sectorial'!M66/1000/1000</f>
        <v>116216.53333333333</v>
      </c>
      <c r="M67" s="17">
        <f>'Datos Actividad'!$Z63*'FE Sectorial'!$H66*'FE Sectorial'!N66/1000/1000</f>
        <v>1452.7066666666665</v>
      </c>
      <c r="N67" s="17">
        <f>'Datos Actividad'!$Z63*'FE Sectorial'!$H66*'FE Sectorial'!O66/1000/1000</f>
        <v>0</v>
      </c>
      <c r="O67" s="87">
        <f>IF(D67&lt;400,H67+I67*'Factores generales'!$M$41+J67*'Factores generales'!$N$41,I67*'Factores generales'!$M$41+J67*'Factores generales'!$N$41)</f>
        <v>54331.229333333329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Actividad'!$Z64*'FE Sectorial'!$H67*'FE Sectorial'!I67*'FE Sectorial'!P67/1000</f>
        <v>2234.4940799999999</v>
      </c>
      <c r="I68" s="17">
        <f>'Datos Actividad'!$Z64*'FE Sectorial'!$H67*'FE Sectorial'!J67/1000/1000</f>
        <v>0.68796000000000002</v>
      </c>
      <c r="J68" s="17">
        <f>'Datos Actividad'!$Z64*'FE Sectorial'!$H67*'FE Sectorial'!K67/1000/1000</f>
        <v>9.172799999999999E-2</v>
      </c>
      <c r="K68" s="17">
        <f>'Datos Actividad'!$Z64*'FE Sectorial'!$H67*'FE Sectorial'!L67/1000/1000</f>
        <v>2.2931999999999997</v>
      </c>
      <c r="L68" s="17">
        <f>'Datos Actividad'!$Z64*'FE Sectorial'!$H67*'FE Sectorial'!M67/1000/1000</f>
        <v>45.863999999999997</v>
      </c>
      <c r="M68" s="17">
        <f>'Datos Actividad'!$Z64*'FE Sectorial'!$H67*'FE Sectorial'!N67/1000/1000</f>
        <v>1.1465999999999998</v>
      </c>
      <c r="N68" s="17">
        <f>'Datos Actividad'!$Z64*'FE Sectorial'!$H67*'FE Sectorial'!O67/1000/1000</f>
        <v>5.88</v>
      </c>
      <c r="O68" s="87">
        <f>IF(D68&lt;400,H68+I68*'Factores generales'!$M$41+J68*'Factores generales'!$N$41,I68*'Factores generales'!$M$41+J68*'Factores generales'!$N$41)</f>
        <v>42.882840000000002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Actividad'!$Z65*'FE Sectorial'!$H68*'FE Sectorial'!I68*'FE Sectorial'!P68/1000</f>
        <v>809539.10000151547</v>
      </c>
      <c r="I69" s="17">
        <f>'Datos Actividad'!$Z65*'FE Sectorial'!$H68*'FE Sectorial'!J68/1000/1000</f>
        <v>279.15141379362609</v>
      </c>
      <c r="J69" s="17">
        <f>'Datos Actividad'!$Z65*'FE Sectorial'!$H68*'FE Sectorial'!K68/1000/1000</f>
        <v>37.220188505816814</v>
      </c>
      <c r="K69" s="17">
        <f>'Datos Actividad'!$Z65*'FE Sectorial'!$H68*'FE Sectorial'!L68/1000/1000</f>
        <v>930.50471264542023</v>
      </c>
      <c r="L69" s="17">
        <f>'Datos Actividad'!$Z65*'FE Sectorial'!$H68*'FE Sectorial'!M68/1000/1000</f>
        <v>37220.188505816812</v>
      </c>
      <c r="M69" s="17">
        <f>'Datos Actividad'!$Z65*'FE Sectorial'!$H68*'FE Sectorial'!N68/1000/1000</f>
        <v>465.25235632271011</v>
      </c>
      <c r="N69" s="17">
        <f>'Datos Actividad'!$Z65*'FE Sectorial'!$H68*'FE Sectorial'!O68/1000/1000</f>
        <v>0</v>
      </c>
      <c r="O69" s="87">
        <f>IF(D69&lt;400,H69+I69*'Factores generales'!$M$41+J69*'Factores generales'!$N$41,I69*'Factores generales'!$M$41+J69*'Factores generales'!$N$41)</f>
        <v>17400.438126469362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13415411.277487421</v>
      </c>
      <c r="I70" s="134">
        <f t="shared" si="16"/>
        <v>553.10171115726484</v>
      </c>
      <c r="J70" s="134">
        <f t="shared" si="16"/>
        <v>77.708188428185423</v>
      </c>
      <c r="K70" s="134">
        <f t="shared" si="16"/>
        <v>36850.894754294146</v>
      </c>
      <c r="L70" s="134">
        <f t="shared" si="16"/>
        <v>40825.723839801241</v>
      </c>
      <c r="M70" s="134">
        <f t="shared" si="16"/>
        <v>1597.5141833183279</v>
      </c>
      <c r="N70" s="134">
        <f t="shared" si="16"/>
        <v>6398.3316740844357</v>
      </c>
      <c r="O70" s="134">
        <f t="shared" si="16"/>
        <v>13451115.951834459</v>
      </c>
    </row>
    <row r="71" spans="1:15" outlineLevel="1" x14ac:dyDescent="0.25">
      <c r="B71" s="1" t="s">
        <v>36</v>
      </c>
      <c r="G71" s="1"/>
      <c r="H71" s="15">
        <f>H72+H73+H74+H76</f>
        <v>234832.05327173448</v>
      </c>
      <c r="I71" s="15">
        <f>SUM(I72:I76)</f>
        <v>2.4740375480926846</v>
      </c>
      <c r="J71" s="15">
        <f t="shared" ref="J71:O71" si="17">SUM(J72:J76)</f>
        <v>3.7110563221390276</v>
      </c>
      <c r="K71" s="15">
        <f t="shared" si="17"/>
        <v>742.21126442780542</v>
      </c>
      <c r="L71" s="15">
        <f t="shared" si="17"/>
        <v>371.10563221390271</v>
      </c>
      <c r="M71" s="15">
        <f t="shared" si="17"/>
        <v>49.480750961853694</v>
      </c>
      <c r="N71" s="15">
        <f t="shared" si="17"/>
        <v>526.25881542206639</v>
      </c>
      <c r="O71" s="15">
        <f t="shared" si="17"/>
        <v>236034.43552010751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Actividad'!$Z68*'FE Sectorial'!$H71*'FE Sectorial'!I71*'FE Sectorial'!P71/1000</f>
        <v>0</v>
      </c>
      <c r="I72" s="17">
        <f>'Datos Actividad'!$Z68*'FE Sectorial'!$H71*'FE Sectorial'!J71/1000/1000</f>
        <v>0</v>
      </c>
      <c r="J72" s="17">
        <f>'Datos Actividad'!$Z68*'FE Sectorial'!$H71*'FE Sectorial'!K71/1000/1000</f>
        <v>0</v>
      </c>
      <c r="K72" s="17">
        <f>'Datos Actividad'!$Z68*'FE Sectorial'!$H71*'FE Sectorial'!L71/1000/1000</f>
        <v>0</v>
      </c>
      <c r="L72" s="17">
        <f>'Datos Actividad'!$Z68*'FE Sectorial'!$H71*'FE Sectorial'!M71/1000/1000</f>
        <v>0</v>
      </c>
      <c r="M72" s="17">
        <f>'Datos Actividad'!$Z68*'FE Sectorial'!$H71*'FE Sectorial'!N71/1000/1000</f>
        <v>0</v>
      </c>
      <c r="N72" s="17">
        <f>'Datos Actividad'!$Z68*'FE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Actividad'!$Z69*'FE Sectorial'!$H72*'FE Sectorial'!I72*'FE Sectorial'!P72/1000</f>
        <v>0</v>
      </c>
      <c r="I73" s="17">
        <f>'Datos Actividad'!$Z69*'FE Sectorial'!$H72*'FE Sectorial'!J72/1000/1000</f>
        <v>0</v>
      </c>
      <c r="J73" s="17">
        <f>'Datos Actividad'!$Z69*'FE Sectorial'!$H72*'FE Sectorial'!K72/1000/1000</f>
        <v>0</v>
      </c>
      <c r="K73" s="17">
        <f>'Datos Actividad'!$Z69*'FE Sectorial'!$H72*'FE Sectorial'!L72/1000/1000</f>
        <v>0</v>
      </c>
      <c r="L73" s="17">
        <f>'Datos Actividad'!$Z69*'FE Sectorial'!$H72*'FE Sectorial'!M72/1000/1000</f>
        <v>0</v>
      </c>
      <c r="M73" s="17">
        <f>'Datos Actividad'!$Z69*'FE Sectorial'!$H72*'FE Sectorial'!N72/1000/1000</f>
        <v>0</v>
      </c>
      <c r="N73" s="17">
        <f>'Datos Actividad'!$Z69*'FE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Actividad'!$Z70*'FE Sectorial'!$H73*'FE Sectorial'!I73*'FE Sectorial'!P73/1000</f>
        <v>183870.88815789472</v>
      </c>
      <c r="I74" s="17">
        <f>'Datos Actividad'!$Z70*'FE Sectorial'!$H73*'FE Sectorial'!J73/1000/1000</f>
        <v>1.924342105263158</v>
      </c>
      <c r="J74" s="17">
        <f>'Datos Actividad'!$Z70*'FE Sectorial'!$H73*'FE Sectorial'!K73/1000/1000</f>
        <v>2.8865131578947376</v>
      </c>
      <c r="K74" s="17">
        <f>'Datos Actividad'!$Z70*'FE Sectorial'!$H73*'FE Sectorial'!L73/1000/1000</f>
        <v>577.3026315789474</v>
      </c>
      <c r="L74" s="17">
        <f>'Datos Actividad'!$Z70*'FE Sectorial'!$H73*'FE Sectorial'!M73/1000/1000</f>
        <v>288.6513157894737</v>
      </c>
      <c r="M74" s="17">
        <f>'Datos Actividad'!$Z70*'FE Sectorial'!$H73*'FE Sectorial'!N73/1000/1000</f>
        <v>38.486842105263158</v>
      </c>
      <c r="N74" s="17">
        <f>'Datos Actividad'!$Z70*'FE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184806.11842105261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Actividad'!$Z71*'FE Sectorial'!$H74*'FE Sectorial'!I74*'FE Sectorial'!P74/1000</f>
        <v>0</v>
      </c>
      <c r="I75" s="17">
        <f>'Datos Actividad'!$Z71*'FE Sectorial'!$H74*'FE Sectorial'!J74/1000/1000</f>
        <v>0</v>
      </c>
      <c r="J75" s="17">
        <f>'Datos Actividad'!$Z71*'FE Sectorial'!$H74*'FE Sectorial'!K74/1000/1000</f>
        <v>0</v>
      </c>
      <c r="K75" s="17">
        <f>'Datos Actividad'!$Z71*'FE Sectorial'!$H74*'FE Sectorial'!L74/1000/1000</f>
        <v>0</v>
      </c>
      <c r="L75" s="17">
        <f>'Datos Actividad'!$Z71*'FE Sectorial'!$H74*'FE Sectorial'!M74/1000/1000</f>
        <v>0</v>
      </c>
      <c r="M75" s="17">
        <f>'Datos Actividad'!$Z71*'FE Sectorial'!$H74*'FE Sectorial'!N74/1000/1000</f>
        <v>0</v>
      </c>
      <c r="N75" s="17">
        <f>'Datos Actividad'!$Z71*'FE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Actividad'!$Z72*'FE Sectorial'!$H75*'FE Sectorial'!I75*'FE Sectorial'!P75/1000</f>
        <v>50961.165113839757</v>
      </c>
      <c r="I76" s="17">
        <f>'Datos Actividad'!$Z72*'FE Sectorial'!$H75*'FE Sectorial'!J75/1000/1000</f>
        <v>0.54969544282952676</v>
      </c>
      <c r="J76" s="17">
        <f>'Datos Actividad'!$Z72*'FE Sectorial'!$H75*'FE Sectorial'!K75/1000/1000</f>
        <v>0.82454316424429019</v>
      </c>
      <c r="K76" s="17">
        <f>'Datos Actividad'!$Z72*'FE Sectorial'!$H75*'FE Sectorial'!L75/1000/1000</f>
        <v>164.90863284885802</v>
      </c>
      <c r="L76" s="17">
        <f>'Datos Actividad'!$Z72*'FE Sectorial'!$H75*'FE Sectorial'!M75/1000/1000</f>
        <v>82.45431642442901</v>
      </c>
      <c r="M76" s="17">
        <f>'Datos Actividad'!$Z72*'FE Sectorial'!$H75*'FE Sectorial'!N75/1000/1000</f>
        <v>10.993908856590535</v>
      </c>
      <c r="N76" s="17">
        <f>'Datos Actividad'!$Z72*'FE Sectorial'!$H75*'FE Sectorial'!O75/1000/1000</f>
        <v>526.25881542206639</v>
      </c>
      <c r="O76" s="87">
        <f>IF(D76&lt;400,H76+I76*'Factores generales'!$M$41+J76*'Factores generales'!$N$41,I76*'Factores generales'!$M$41+J76*'Factores generales'!$N$41)</f>
        <v>51228.317099054904</v>
      </c>
    </row>
    <row r="77" spans="1:15" outlineLevel="1" x14ac:dyDescent="0.25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Actividad'!$Z74*'FE Sectorial'!$H77*'FE Sectorial'!I77*'FE Sectorial'!P77/1000</f>
        <v>0</v>
      </c>
      <c r="I78" s="17">
        <f>'Datos Actividad'!$Z74*'FE Sectorial'!$H77*'FE Sectorial'!J77/1000/1000</f>
        <v>0</v>
      </c>
      <c r="J78" s="17">
        <f>'Datos Actividad'!$Z74*'FE Sectorial'!$H77*'FE Sectorial'!K77/1000/1000</f>
        <v>0</v>
      </c>
      <c r="K78" s="17">
        <f>'Datos Actividad'!$Z74*'FE Sectorial'!$H77*'FE Sectorial'!L77/1000/1000</f>
        <v>0</v>
      </c>
      <c r="L78" s="17">
        <f>'Datos Actividad'!$Z74*'FE Sectorial'!$H77*'FE Sectorial'!M77/1000/1000</f>
        <v>0</v>
      </c>
      <c r="M78" s="17">
        <f>'Datos Actividad'!$Z74*'FE Sectorial'!$H77*'FE Sectorial'!N77/1000/1000</f>
        <v>0</v>
      </c>
      <c r="N78" s="17">
        <f>'Datos Actividad'!$Z74*'FE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Actividad'!$Z75*'FE Sectorial'!$H78*'FE Sectorial'!I78*'FE Sectorial'!P78/1000</f>
        <v>0</v>
      </c>
      <c r="I79" s="17">
        <f>'Datos Actividad'!$Z75*'FE Sectorial'!$H78*'FE Sectorial'!J78/1000/1000</f>
        <v>0</v>
      </c>
      <c r="J79" s="17">
        <f>'Datos Actividad'!$Z75*'FE Sectorial'!$H78*'FE Sectorial'!K78/1000/1000</f>
        <v>0</v>
      </c>
      <c r="K79" s="17">
        <f>'Datos Actividad'!$Z75*'FE Sectorial'!$H78*'FE Sectorial'!L78/1000/1000</f>
        <v>0</v>
      </c>
      <c r="L79" s="17">
        <f>'Datos Actividad'!$Z75*'FE Sectorial'!$H78*'FE Sectorial'!M78/1000/1000</f>
        <v>0</v>
      </c>
      <c r="M79" s="17">
        <f>'Datos Actividad'!$Z75*'FE Sectorial'!$H78*'FE Sectorial'!N78/1000/1000</f>
        <v>0</v>
      </c>
      <c r="N79" s="17">
        <f>'Datos Actividad'!$Z75*'FE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0</v>
      </c>
      <c r="I80" s="15">
        <f>SUM(I81:I85)</f>
        <v>257.61849010785568</v>
      </c>
      <c r="J80" s="15">
        <f t="shared" ref="J80:O80" si="19">SUM(J81:J85)</f>
        <v>34.349132014380764</v>
      </c>
      <c r="K80" s="15">
        <f t="shared" si="19"/>
        <v>858.72830035951893</v>
      </c>
      <c r="L80" s="15">
        <f t="shared" si="19"/>
        <v>34349.132014380761</v>
      </c>
      <c r="M80" s="15">
        <f t="shared" si="19"/>
        <v>429.36415017975946</v>
      </c>
      <c r="N80" s="15">
        <f t="shared" si="19"/>
        <v>0</v>
      </c>
      <c r="O80" s="15">
        <f t="shared" si="19"/>
        <v>16058.219216723006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Actividad'!$Z77*'FE Sectorial'!$H80*'FE Sectorial'!I80*'FE Sectorial'!P80/1000</f>
        <v>0</v>
      </c>
      <c r="I81" s="17">
        <f>'Datos Actividad'!$Z77*'FE Sectorial'!$H80*'FE Sectorial'!J80/1000/1000</f>
        <v>0</v>
      </c>
      <c r="J81" s="17">
        <f>'Datos Actividad'!$Z77*'FE Sectorial'!$H80*'FE Sectorial'!K80/1000/1000</f>
        <v>0</v>
      </c>
      <c r="K81" s="17">
        <f>'Datos Actividad'!$Z77*'FE Sectorial'!$H80*'FE Sectorial'!L80/1000/1000</f>
        <v>0</v>
      </c>
      <c r="L81" s="17">
        <f>'Datos Actividad'!$Z77*'FE Sectorial'!$H80*'FE Sectorial'!M80/1000/1000</f>
        <v>0</v>
      </c>
      <c r="M81" s="17">
        <f>'Datos Actividad'!$Z77*'FE Sectorial'!$H80*'FE Sectorial'!N80/1000/1000</f>
        <v>0</v>
      </c>
      <c r="N81" s="17">
        <f>'Datos Actividad'!$Z77*'FE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Actividad'!$Z78*'FE Sectorial'!$H81*'FE Sectorial'!I81*'FE Sectorial'!P81/1000</f>
        <v>0</v>
      </c>
      <c r="I82" s="17">
        <f>'Datos Actividad'!$Z78*'FE Sectorial'!$H81*'FE Sectorial'!J81/1000/1000</f>
        <v>0</v>
      </c>
      <c r="J82" s="17">
        <f>'Datos Actividad'!$Z78*'FE Sectorial'!$H81*'FE Sectorial'!K81/1000/1000</f>
        <v>0</v>
      </c>
      <c r="K82" s="17">
        <f>'Datos Actividad'!$Z78*'FE Sectorial'!$H81*'FE Sectorial'!L81/1000/1000</f>
        <v>0</v>
      </c>
      <c r="L82" s="17">
        <f>'Datos Actividad'!$Z78*'FE Sectorial'!$H81*'FE Sectorial'!M81/1000/1000</f>
        <v>0</v>
      </c>
      <c r="M82" s="17">
        <f>'Datos Actividad'!$Z78*'FE Sectorial'!$H81*'FE Sectorial'!N81/1000/1000</f>
        <v>0</v>
      </c>
      <c r="N82" s="17">
        <f>'Datos Actividad'!$Z78*'FE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Actividad'!$Z79*'FE Sectorial'!$H82*'FE Sectorial'!I82*'FE Sectorial'!P82/1000</f>
        <v>0</v>
      </c>
      <c r="I83" s="95">
        <f>'Datos Actividad'!$Z79*'FE Sectorial'!$H82*'FE Sectorial'!J82/1000/1000</f>
        <v>0</v>
      </c>
      <c r="J83" s="17">
        <f>'Datos Actividad'!$Z79*'FE Sectorial'!$H82*'FE Sectorial'!K82/1000/1000</f>
        <v>0</v>
      </c>
      <c r="K83" s="17">
        <f>'Datos Actividad'!$Z79*'FE Sectorial'!$H82*'FE Sectorial'!L82/1000/1000</f>
        <v>0</v>
      </c>
      <c r="L83" s="17">
        <f>'Datos Actividad'!$Z79*'FE Sectorial'!$H82*'FE Sectorial'!M82/1000/1000</f>
        <v>0</v>
      </c>
      <c r="M83" s="17">
        <f>'Datos Actividad'!$Z79*'FE Sectorial'!$H82*'FE Sectorial'!N82/1000/1000</f>
        <v>0</v>
      </c>
      <c r="N83" s="17">
        <f>'Datos Actividad'!$Z79*'FE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Actividad'!$Z80*'FE Sectorial'!$H83*'FE Sectorial'!I83*'FE Sectorial'!P83/1000</f>
        <v>0</v>
      </c>
      <c r="I84" s="95">
        <f>'Datos Actividad'!$Z80*'FE Sectorial'!$H83*'FE Sectorial'!J83/1000/1000</f>
        <v>0</v>
      </c>
      <c r="J84" s="17">
        <f>'Datos Actividad'!$Z80*'FE Sectorial'!$H83*'FE Sectorial'!K83/1000/1000</f>
        <v>0</v>
      </c>
      <c r="K84" s="17">
        <f>'Datos Actividad'!$Z80*'FE Sectorial'!$H83*'FE Sectorial'!L83/1000/1000</f>
        <v>0</v>
      </c>
      <c r="L84" s="17">
        <f>'Datos Actividad'!$Z80*'FE Sectorial'!$H83*'FE Sectorial'!M83/1000/1000</f>
        <v>0</v>
      </c>
      <c r="M84" s="17">
        <f>'Datos Actividad'!$Z80*'FE Sectorial'!$H83*'FE Sectorial'!N83/1000/1000</f>
        <v>0</v>
      </c>
      <c r="N84" s="17">
        <f>'Datos Actividad'!$Z80*'FE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Actividad'!$Z81*'FE Sectorial'!$H84*'FE Sectorial'!I84*'FE Sectorial'!P84/1000</f>
        <v>747093.62131278159</v>
      </c>
      <c r="I85" s="95">
        <f>'Datos Actividad'!$Z81*'FE Sectorial'!$H84*'FE Sectorial'!J84/1000/1000</f>
        <v>257.61849010785568</v>
      </c>
      <c r="J85" s="17">
        <f>'Datos Actividad'!$Z81*'FE Sectorial'!$H84*'FE Sectorial'!K84/1000/1000</f>
        <v>34.349132014380764</v>
      </c>
      <c r="K85" s="17">
        <f>'Datos Actividad'!$Z81*'FE Sectorial'!$H84*'FE Sectorial'!L84/1000/1000</f>
        <v>858.72830035951893</v>
      </c>
      <c r="L85" s="17">
        <f>'Datos Actividad'!$Z81*'FE Sectorial'!$H84*'FE Sectorial'!M84/1000/1000</f>
        <v>34349.132014380761</v>
      </c>
      <c r="M85" s="17">
        <f>'Datos Actividad'!$Z81*'FE Sectorial'!$H84*'FE Sectorial'!N84/1000/1000</f>
        <v>429.36415017975946</v>
      </c>
      <c r="N85" s="17">
        <f>'Datos Actividad'!$Z81*'FE Sectorial'!$H84*'FE Sectorial'!O84/1000/1000</f>
        <v>0</v>
      </c>
      <c r="O85" s="87">
        <f>IF(D85&lt;400,H85+I85*'Factores generales'!$M$41+J85*'Factores generales'!$N$41,I85*'Factores generales'!$M$41+J85*'Factores generales'!$N$41)</f>
        <v>16058.219216723006</v>
      </c>
    </row>
    <row r="86" spans="2:15" outlineLevel="1" x14ac:dyDescent="0.25">
      <c r="B86" s="1" t="s">
        <v>38</v>
      </c>
      <c r="G86" s="1"/>
      <c r="H86" s="15">
        <f>H87+H88</f>
        <v>0</v>
      </c>
      <c r="I86" s="15">
        <f>I87+I88+I89</f>
        <v>0.66325977543095038</v>
      </c>
      <c r="J86" s="15">
        <f t="shared" ref="J86:O86" si="20">J87+J88+J89</f>
        <v>8.8434636724126728E-2</v>
      </c>
      <c r="K86" s="15">
        <f t="shared" si="20"/>
        <v>2.2108659181031682</v>
      </c>
      <c r="L86" s="15">
        <f t="shared" si="20"/>
        <v>88.434636724126733</v>
      </c>
      <c r="M86" s="15">
        <f t="shared" si="20"/>
        <v>1.1054329590515841</v>
      </c>
      <c r="N86" s="15">
        <f t="shared" si="20"/>
        <v>0</v>
      </c>
      <c r="O86" s="15">
        <f t="shared" si="20"/>
        <v>41.343192668529241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Actividad'!$Z83*'FE Sectorial'!$H86*'FE Sectorial'!I86*'FE Sectorial'!P86/1000</f>
        <v>0</v>
      </c>
      <c r="I87" s="17">
        <f>'Datos Actividad'!$Z83*'FE Sectorial'!$H86*'FE Sectorial'!J86/1000/1000</f>
        <v>0</v>
      </c>
      <c r="J87" s="17">
        <f>'Datos Actividad'!$Z83*'FE Sectorial'!$H86*'FE Sectorial'!K86/1000/1000</f>
        <v>0</v>
      </c>
      <c r="K87" s="17">
        <f>'Datos Actividad'!$Z83*'FE Sectorial'!$H86*'FE Sectorial'!L86/1000/1000</f>
        <v>0</v>
      </c>
      <c r="L87" s="17">
        <f>'Datos Actividad'!$Z83*'FE Sectorial'!$H86*'FE Sectorial'!M86/1000/1000</f>
        <v>0</v>
      </c>
      <c r="M87" s="17">
        <f>'Datos Actividad'!$Z83*'FE Sectorial'!$H86*'FE Sectorial'!N86/1000/1000</f>
        <v>0</v>
      </c>
      <c r="N87" s="17">
        <f>'Datos Actividad'!$Z83*'FE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Actividad'!$Z84*'FE Sectorial'!$H87*'FE Sectorial'!I87*'FE Sectorial'!P87/1000</f>
        <v>0</v>
      </c>
      <c r="I88" s="17">
        <f>'Datos Actividad'!$Z84*'FE Sectorial'!$H87*'FE Sectorial'!J87/1000/1000</f>
        <v>0</v>
      </c>
      <c r="J88" s="17">
        <f>'Datos Actividad'!$Z84*'FE Sectorial'!$H87*'FE Sectorial'!K87/1000/1000</f>
        <v>0</v>
      </c>
      <c r="K88" s="17">
        <f>'Datos Actividad'!$Z84*'FE Sectorial'!$H87*'FE Sectorial'!L87/1000/1000</f>
        <v>0</v>
      </c>
      <c r="L88" s="17">
        <f>'Datos Actividad'!$Z84*'FE Sectorial'!$H87*'FE Sectorial'!M87/1000/1000</f>
        <v>0</v>
      </c>
      <c r="M88" s="17">
        <f>'Datos Actividad'!$Z84*'FE Sectorial'!$H87*'FE Sectorial'!N87/1000/1000</f>
        <v>0</v>
      </c>
      <c r="N88" s="17">
        <f>'Datos Actividad'!$Z84*'FE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Actividad'!$Z85*'FE Sectorial'!$H88*'FE Sectorial'!I88*'FE Sectorial'!P88/1000</f>
        <v>1923.4533487497563</v>
      </c>
      <c r="I89" s="95">
        <f>'Datos Actividad'!$Z85*'FE Sectorial'!$H88*'FE Sectorial'!J88/1000/1000</f>
        <v>0.66325977543095038</v>
      </c>
      <c r="J89" s="17">
        <f>'Datos Actividad'!$Z85*'FE Sectorial'!$H88*'FE Sectorial'!K88/1000/1000</f>
        <v>8.8434636724126728E-2</v>
      </c>
      <c r="K89" s="17">
        <f>'Datos Actividad'!$Z85*'FE Sectorial'!$H88*'FE Sectorial'!L88/1000/1000</f>
        <v>2.2108659181031682</v>
      </c>
      <c r="L89" s="17">
        <f>'Datos Actividad'!$Z85*'FE Sectorial'!$H88*'FE Sectorial'!M88/1000/1000</f>
        <v>88.434636724126733</v>
      </c>
      <c r="M89" s="17">
        <f>'Datos Actividad'!$Z85*'FE Sectorial'!$H88*'FE Sectorial'!N88/1000/1000</f>
        <v>1.1054329590515841</v>
      </c>
      <c r="N89" s="17">
        <f>'Datos Actividad'!$Z85*'FE Sectorial'!$H88*'FE Sectorial'!O88/1000/1000</f>
        <v>0</v>
      </c>
      <c r="O89" s="87">
        <f>IF(D89&lt;400,H89+I89*'Factores generales'!$M$41+J89*'Factores generales'!$N$41,I89*'Factores generales'!$M$41+J89*'Factores generales'!$N$41)</f>
        <v>41.343192668529241</v>
      </c>
    </row>
    <row r="90" spans="2:15" outlineLevel="1" x14ac:dyDescent="0.25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Actividad'!$Z87*'FE Sectorial'!$H90*'FE Sectorial'!I90*'FE Sectorial'!P90/1000</f>
        <v>0</v>
      </c>
      <c r="I91" s="17">
        <f>'Datos Actividad'!$Z87*'FE Sectorial'!$H90*'FE Sectorial'!J90/1000/1000</f>
        <v>0</v>
      </c>
      <c r="J91" s="17">
        <f>'Datos Actividad'!$Z87*'FE Sectorial'!$H90*'FE Sectorial'!K90/1000/1000</f>
        <v>0</v>
      </c>
      <c r="K91" s="17">
        <f>'Datos Actividad'!$Z87*'FE Sectorial'!$H90*'FE Sectorial'!L90/1000/1000</f>
        <v>0</v>
      </c>
      <c r="L91" s="17">
        <f>'Datos Actividad'!$Z87*'FE Sectorial'!$H90*'FE Sectorial'!M90/1000/1000</f>
        <v>0</v>
      </c>
      <c r="M91" s="17">
        <f>'Datos Actividad'!$Z87*'FE Sectorial'!$H90*'FE Sectorial'!N90/1000/1000</f>
        <v>0</v>
      </c>
      <c r="N91" s="17">
        <f>'Datos Actividad'!$Z87*'FE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Actividad'!$Z88*'FE Sectorial'!$H91*'FE Sectorial'!I91*'FE Sectorial'!P91/1000</f>
        <v>0</v>
      </c>
      <c r="I92" s="17">
        <f>'Datos Actividad'!$Z88*'FE Sectorial'!$H91*'FE Sectorial'!J91/1000/1000</f>
        <v>0</v>
      </c>
      <c r="J92" s="17">
        <f>'Datos Actividad'!$Z88*'FE Sectorial'!$H91*'FE Sectorial'!K91/1000/1000</f>
        <v>0</v>
      </c>
      <c r="K92" s="17">
        <f>'Datos Actividad'!$Z88*'FE Sectorial'!$H91*'FE Sectorial'!L91/1000/1000</f>
        <v>0</v>
      </c>
      <c r="L92" s="17">
        <f>'Datos Actividad'!$Z88*'FE Sectorial'!$H91*'FE Sectorial'!M91/1000/1000</f>
        <v>0</v>
      </c>
      <c r="M92" s="17">
        <f>'Datos Actividad'!$Z88*'FE Sectorial'!$H91*'FE Sectorial'!N91/1000/1000</f>
        <v>0</v>
      </c>
      <c r="N92" s="17">
        <f>'Datos Actividad'!$Z88*'FE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Actividad'!$Z89*'FE Sectorial'!$H92*'FE Sectorial'!I92*'FE Sectorial'!P92/1000</f>
        <v>0</v>
      </c>
      <c r="I93" s="17">
        <f>'Datos Actividad'!$Z89*'FE Sectorial'!$H92*'FE Sectorial'!J92/1000/1000</f>
        <v>0</v>
      </c>
      <c r="J93" s="17">
        <f>'Datos Actividad'!$Z89*'FE Sectorial'!$H92*'FE Sectorial'!K92/1000/1000</f>
        <v>0</v>
      </c>
      <c r="K93" s="17">
        <f>'Datos Actividad'!$Z89*'FE Sectorial'!$H92*'FE Sectorial'!L92/1000/1000</f>
        <v>0</v>
      </c>
      <c r="L93" s="17">
        <f>'Datos Actividad'!$Z89*'FE Sectorial'!$H92*'FE Sectorial'!M92/1000/1000</f>
        <v>0</v>
      </c>
      <c r="M93" s="17">
        <f>'Datos Actividad'!$Z89*'FE Sectorial'!$H92*'FE Sectorial'!N92/1000/1000</f>
        <v>0</v>
      </c>
      <c r="N93" s="17">
        <f>'Datos Actividad'!$Z89*'FE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13180579.224215686</v>
      </c>
      <c r="I94" s="15">
        <f t="shared" ref="I94:O94" si="22">SUM(I95:I100)</f>
        <v>292.3459237258856</v>
      </c>
      <c r="J94" s="15">
        <f t="shared" si="22"/>
        <v>39.559565454941499</v>
      </c>
      <c r="K94" s="15">
        <f t="shared" si="22"/>
        <v>35247.744323588719</v>
      </c>
      <c r="L94" s="15">
        <f t="shared" si="22"/>
        <v>6017.0515564824509</v>
      </c>
      <c r="M94" s="15">
        <f t="shared" si="22"/>
        <v>1117.5638492176631</v>
      </c>
      <c r="N94" s="15">
        <f t="shared" si="22"/>
        <v>5872.0728586623691</v>
      </c>
      <c r="O94" s="15">
        <f t="shared" si="22"/>
        <v>13198981.95390496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Actividad'!$Z91*'FE Sectorial'!$H94*'FE Sectorial'!I94*'FE Sectorial'!P94/1000</f>
        <v>10494290.197012249</v>
      </c>
      <c r="I95" s="17">
        <f>'Datos Actividad'!$Z91*'FE Sectorial'!$H94*'FE Sectorial'!J94/1000/1000</f>
        <v>188.00401646400002</v>
      </c>
      <c r="J95" s="17">
        <f>'Datos Actividad'!$Z91*'FE Sectorial'!$H94*'FE Sectorial'!K94/1000/1000</f>
        <v>18.800401646400001</v>
      </c>
      <c r="K95" s="17">
        <f>'Datos Actividad'!$Z91*'FE Sectorial'!$H94*'FE Sectorial'!L94/1000/1000</f>
        <v>28200.602469600002</v>
      </c>
      <c r="L95" s="17">
        <f>'Datos Actividad'!$Z91*'FE Sectorial'!$H94*'FE Sectorial'!M94/1000/1000</f>
        <v>5640.1204939200006</v>
      </c>
      <c r="M95" s="17">
        <f>'Datos Actividad'!$Z91*'FE Sectorial'!$H94*'FE Sectorial'!N94/1000/1000</f>
        <v>940.02008232000003</v>
      </c>
      <c r="N95" s="17">
        <f>'Datos Actividad'!$Z91*'FE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10504066.405868378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Actividad'!$Z92*'FE Sectorial'!$H95*'FE Sectorial'!I95*'FE Sectorial'!P95/1000</f>
        <v>68227.169927671464</v>
      </c>
      <c r="I96" s="17">
        <f>'Datos Actividad'!$Z92*'FE Sectorial'!$H95*'FE Sectorial'!J95/1000/1000</f>
        <v>1.0921764383561681</v>
      </c>
      <c r="J96" s="17">
        <f>'Datos Actividad'!$Z92*'FE Sectorial'!$H95*'FE Sectorial'!K95/1000/1000</f>
        <v>0.10921764383561683</v>
      </c>
      <c r="K96" s="17">
        <f>'Datos Actividad'!$Z92*'FE Sectorial'!$H95*'FE Sectorial'!L95/1000/1000</f>
        <v>163.8264657534252</v>
      </c>
      <c r="L96" s="17">
        <f>'Datos Actividad'!$Z92*'FE Sectorial'!$H95*'FE Sectorial'!M95/1000/1000</f>
        <v>32.765293150685046</v>
      </c>
      <c r="M96" s="17">
        <f>'Datos Actividad'!$Z92*'FE Sectorial'!$H95*'FE Sectorial'!N95/1000/1000</f>
        <v>5.4608821917808408</v>
      </c>
      <c r="N96" s="17">
        <f>'Datos Actividad'!$Z92*'FE Sectorial'!$H95*'FE Sectorial'!O95/1000/1000</f>
        <v>4.6180821917808377</v>
      </c>
      <c r="O96" s="87">
        <f>IF(D96&lt;400,H96+I96*'Factores generales'!$M$41+J96*'Factores generales'!$N$41,I96*'Factores generales'!$M$41+J96*'Factores generales'!$N$41)</f>
        <v>68283.96310246599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Actividad'!$Z93*'FE Sectorial'!$H96*'FE Sectorial'!I96*'FE Sectorial'!P96/1000</f>
        <v>429842.14113176474</v>
      </c>
      <c r="I97" s="17">
        <f>'Datos Actividad'!$Z93*'FE Sectorial'!$H96*'FE Sectorial'!J96/1000/1000</f>
        <v>17.578298823529416</v>
      </c>
      <c r="J97" s="17">
        <f>'Datos Actividad'!$Z93*'FE Sectorial'!$H96*'FE Sectorial'!K96/1000/1000</f>
        <v>3.5156597647058834</v>
      </c>
      <c r="K97" s="17">
        <f>'Datos Actividad'!$Z93*'FE Sectorial'!$H96*'FE Sectorial'!L96/1000/1000</f>
        <v>1171.8865882352945</v>
      </c>
      <c r="L97" s="17">
        <f>'Datos Actividad'!$Z93*'FE Sectorial'!$H96*'FE Sectorial'!M96/1000/1000</f>
        <v>58.594329411764726</v>
      </c>
      <c r="M97" s="17">
        <f>'Datos Actividad'!$Z93*'FE Sectorial'!$H96*'FE Sectorial'!N96/1000/1000</f>
        <v>29.297164705882363</v>
      </c>
      <c r="N97" s="17">
        <f>'Datos Actividad'!$Z93*'FE Sectorial'!$H96*'FE Sectorial'!O96/1000/1000</f>
        <v>212.57477647058829</v>
      </c>
      <c r="O97" s="87">
        <f>IF(D97&lt;400,H97+I97*'Factores generales'!$M$41+J97*'Factores generales'!$N$41,I97*'Factores generales'!$M$41+J97*'Factores generales'!$N$41)</f>
        <v>431301.13993411767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Actividad'!$Z94*'FE Sectorial'!$H97*'FE Sectorial'!I97*'FE Sectorial'!P97/1000</f>
        <v>2188219.7161440006</v>
      </c>
      <c r="I98" s="17">
        <f>'Datos Actividad'!$Z94*'FE Sectorial'!$H97*'FE Sectorial'!J97/1000/1000</f>
        <v>85.671431999999996</v>
      </c>
      <c r="J98" s="17">
        <f>'Datos Actividad'!$Z94*'FE Sectorial'!$H97*'FE Sectorial'!K97/1000/1000</f>
        <v>17.134286399999997</v>
      </c>
      <c r="K98" s="17">
        <f>'Datos Actividad'!$Z94*'FE Sectorial'!$H97*'FE Sectorial'!L97/1000/1000</f>
        <v>5711.4287999999997</v>
      </c>
      <c r="L98" s="17">
        <f>'Datos Actividad'!$Z94*'FE Sectorial'!$H97*'FE Sectorial'!M97/1000/1000</f>
        <v>285.57144</v>
      </c>
      <c r="M98" s="17">
        <f>'Datos Actividad'!$Z94*'FE Sectorial'!$H97*'FE Sectorial'!N97/1000/1000</f>
        <v>142.78572</v>
      </c>
      <c r="N98" s="17">
        <f>'Datos Actividad'!$Z94*'FE Sectorial'!$H97*'FE Sectorial'!O97/1000/1000</f>
        <v>5654.88</v>
      </c>
      <c r="O98" s="87">
        <f>IF(D98&lt;400,H98+I98*'Factores generales'!$M$41+J98*'Factores generales'!$N$41,I98*'Factores generales'!$M$41+J98*'Factores generales'!$N$41)</f>
        <v>2195330.4450000008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Actividad'!$Z95*'FE Sectorial'!$H98*'FE Sectorial'!I98*'FE Sectorial'!P98/1000</f>
        <v>0</v>
      </c>
      <c r="I99" s="17">
        <f>'Datos Actividad'!$Z95*'FE Sectorial'!$H98*'FE Sectorial'!J98/1000/1000</f>
        <v>0</v>
      </c>
      <c r="J99" s="17">
        <f>'Datos Actividad'!$Z95*'FE Sectorial'!$H98*'FE Sectorial'!K98/1000/1000</f>
        <v>0</v>
      </c>
      <c r="K99" s="17">
        <f>'Datos Actividad'!$Z95*'FE Sectorial'!$H98*'FE Sectorial'!L98/1000/1000</f>
        <v>0</v>
      </c>
      <c r="L99" s="17">
        <f>'Datos Actividad'!$Z95*'FE Sectorial'!$H98*'FE Sectorial'!M98/1000/1000</f>
        <v>0</v>
      </c>
      <c r="M99" s="17">
        <f>'Datos Actividad'!$Z95*'FE Sectorial'!$H98*'FE Sectorial'!N98/1000/1000</f>
        <v>0</v>
      </c>
      <c r="N99" s="17">
        <f>'Datos Actividad'!$Z95*'FE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Actividad'!$Z96*'FE Sectorial'!$H99*'FE Sectorial'!I99*'FE Sectorial'!P99/1000</f>
        <v>0</v>
      </c>
      <c r="I100" s="17">
        <f>'Datos Actividad'!$Z96*'FE Sectorial'!$H99*'FE Sectorial'!J99/1000/1000</f>
        <v>0</v>
      </c>
      <c r="J100" s="17">
        <f>'Datos Actividad'!$Z96*'FE Sectorial'!$H99*'FE Sectorial'!K99/1000/1000</f>
        <v>0</v>
      </c>
      <c r="K100" s="17">
        <f>'Datos Actividad'!$Z96*'FE Sectorial'!$H99*'FE Sectorial'!L99/1000/1000</f>
        <v>0</v>
      </c>
      <c r="L100" s="17">
        <f>'Datos Actividad'!$Z96*'FE Sectorial'!$H99*'FE Sectorial'!M99/1000/1000</f>
        <v>0</v>
      </c>
      <c r="M100" s="17">
        <f>'Datos Actividad'!$Z96*'FE Sectorial'!$H99*'FE Sectorial'!N99/1000/1000</f>
        <v>0</v>
      </c>
      <c r="N100" s="17">
        <f>'Datos Actividad'!$Z96*'FE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30187939.181326251</v>
      </c>
      <c r="I101" s="129">
        <f t="shared" si="23"/>
        <v>6774.0311330693312</v>
      </c>
      <c r="J101" s="129">
        <f t="shared" si="23"/>
        <v>2515.5955616205752</v>
      </c>
      <c r="K101" s="129">
        <f t="shared" si="23"/>
        <v>289832.19468232186</v>
      </c>
      <c r="L101" s="129">
        <f t="shared" si="23"/>
        <v>1726564.5172115164</v>
      </c>
      <c r="M101" s="129">
        <f t="shared" si="23"/>
        <v>325585.26334633923</v>
      </c>
      <c r="N101" s="129">
        <f t="shared" si="23"/>
        <v>8573.3652811290431</v>
      </c>
      <c r="O101" s="129">
        <f t="shared" si="23"/>
        <v>31110028.459223092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649194.52055304358</v>
      </c>
      <c r="I102" s="134">
        <f t="shared" ref="I102:O102" si="24">I105</f>
        <v>4.5856786081305616</v>
      </c>
      <c r="J102" s="134">
        <f t="shared" si="24"/>
        <v>18.342714432522246</v>
      </c>
      <c r="K102" s="134">
        <f t="shared" si="24"/>
        <v>2292.8393040652809</v>
      </c>
      <c r="L102" s="134">
        <f t="shared" si="24"/>
        <v>917.13572162611251</v>
      </c>
      <c r="M102" s="134">
        <f t="shared" si="24"/>
        <v>458.56786081305626</v>
      </c>
      <c r="N102" s="134">
        <f t="shared" si="24"/>
        <v>415.93456763088994</v>
      </c>
      <c r="O102" s="134">
        <f t="shared" si="24"/>
        <v>654977.06127789617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1260070.3951604518</v>
      </c>
      <c r="I103" s="15">
        <f t="shared" ref="I103:O103" si="25">I104</f>
        <v>8.9006879646849715</v>
      </c>
      <c r="J103" s="15">
        <f t="shared" si="25"/>
        <v>35.602751858739886</v>
      </c>
      <c r="K103" s="15">
        <f t="shared" si="25"/>
        <v>4450.343982342486</v>
      </c>
      <c r="L103" s="15">
        <f t="shared" si="25"/>
        <v>1780.1375929369945</v>
      </c>
      <c r="M103" s="15">
        <f t="shared" si="25"/>
        <v>890.06879646849723</v>
      </c>
      <c r="N103" s="15">
        <f t="shared" si="25"/>
        <v>807.31863625260519</v>
      </c>
      <c r="O103" s="15">
        <f t="shared" si="25"/>
        <v>1271294.1626839195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Actividad'!$Z100*'FE Sectorial'!$H103*'FE Sectorial'!I103*'FE Sectorial'!P103/1000</f>
        <v>1260070.3951604518</v>
      </c>
      <c r="I104" s="17">
        <f>'Datos Actividad'!$Z100*'FE Sectorial'!$H103*'FE Sectorial'!J103/1000/1000</f>
        <v>8.9006879646849715</v>
      </c>
      <c r="J104" s="17">
        <f>'Datos Actividad'!$Z100*'FE Sectorial'!$H103*'FE Sectorial'!K103/1000/1000</f>
        <v>35.602751858739886</v>
      </c>
      <c r="K104" s="17">
        <f>'Datos Actividad'!$Z100*'FE Sectorial'!$H103*'FE Sectorial'!L103/1000/1000</f>
        <v>4450.343982342486</v>
      </c>
      <c r="L104" s="17">
        <f>'Datos Actividad'!$Z100*'FE Sectorial'!$H103*'FE Sectorial'!M103/1000/1000</f>
        <v>1780.1375929369945</v>
      </c>
      <c r="M104" s="17">
        <f>'Datos Actividad'!$Z100*'FE Sectorial'!$H103*'FE Sectorial'!N103/1000/1000</f>
        <v>890.06879646849723</v>
      </c>
      <c r="N104" s="17">
        <f>'Datos Actividad'!$Z100*'FE Sectorial'!$H103*'FE Sectorial'!O103/1000/1000</f>
        <v>807.31863625260519</v>
      </c>
      <c r="O104" s="87">
        <f>IF(D104&lt;400,H104+I104*'Factores generales'!$M$41+J104*'Factores generales'!$N$41,I104*'Factores generales'!$M$41+J104*'Factores generales'!$N$41)</f>
        <v>1271294.1626839195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649194.52055304358</v>
      </c>
      <c r="I105" s="15">
        <f t="shared" ref="I105:O105" si="26">I106</f>
        <v>4.5856786081305616</v>
      </c>
      <c r="J105" s="15">
        <f t="shared" si="26"/>
        <v>18.342714432522246</v>
      </c>
      <c r="K105" s="15">
        <f t="shared" si="26"/>
        <v>2292.8393040652809</v>
      </c>
      <c r="L105" s="15">
        <f t="shared" si="26"/>
        <v>917.13572162611251</v>
      </c>
      <c r="M105" s="15">
        <f t="shared" si="26"/>
        <v>458.56786081305626</v>
      </c>
      <c r="N105" s="15">
        <f t="shared" si="26"/>
        <v>415.93456763088994</v>
      </c>
      <c r="O105" s="15">
        <f t="shared" si="26"/>
        <v>654977.06127789617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Actividad'!$Z102*'FE Sectorial'!$H105*'FE Sectorial'!I105*'FE Sectorial'!P105/1000</f>
        <v>649194.52055304358</v>
      </c>
      <c r="I106" s="17">
        <f>'Datos Actividad'!$Z102*'FE Sectorial'!$H105*'FE Sectorial'!J105/1000/1000</f>
        <v>4.5856786081305616</v>
      </c>
      <c r="J106" s="17">
        <f>'Datos Actividad'!$Z102*'FE Sectorial'!$H105*'FE Sectorial'!K105/1000/1000</f>
        <v>18.342714432522246</v>
      </c>
      <c r="K106" s="17">
        <f>'Datos Actividad'!$Z102*'FE Sectorial'!$H105*'FE Sectorial'!L105/1000/1000</f>
        <v>2292.8393040652809</v>
      </c>
      <c r="L106" s="17">
        <f>'Datos Actividad'!$Z102*'FE Sectorial'!$H105*'FE Sectorial'!M105/1000/1000</f>
        <v>917.13572162611251</v>
      </c>
      <c r="M106" s="17">
        <f>'Datos Actividad'!$Z102*'FE Sectorial'!$H105*'FE Sectorial'!N105/1000/1000</f>
        <v>458.56786081305626</v>
      </c>
      <c r="N106" s="17">
        <f>'Datos Actividad'!$Z102*'FE Sectorial'!$H105*'FE Sectorial'!O105/1000/1000</f>
        <v>415.93456763088994</v>
      </c>
      <c r="O106" s="87">
        <f>IF(D106&lt;400,H106+I106*'Factores generales'!$M$41+J106*'Factores generales'!$N$41,I106*'Factores generales'!$M$41+J106*'Factores generales'!$N$41)</f>
        <v>654977.06127789617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27529634.030796062</v>
      </c>
      <c r="I107" s="134">
        <f t="shared" si="27"/>
        <v>6699.2318805904379</v>
      </c>
      <c r="J107" s="134">
        <f t="shared" si="27"/>
        <v>2292.7641461291423</v>
      </c>
      <c r="K107" s="134">
        <f t="shared" si="27"/>
        <v>271889.28849552636</v>
      </c>
      <c r="L107" s="134">
        <f t="shared" si="27"/>
        <v>1715717.0092815955</v>
      </c>
      <c r="M107" s="134">
        <f t="shared" si="27"/>
        <v>323117.0802713703</v>
      </c>
      <c r="N107" s="134">
        <f t="shared" si="27"/>
        <v>7651.0798167107714</v>
      </c>
      <c r="O107" s="134">
        <f t="shared" si="27"/>
        <v>28381074.785588499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25329165.50931865</v>
      </c>
      <c r="I108" s="15">
        <f t="shared" ref="I108:O108" si="28">I109+I110+I111+I112+I113</f>
        <v>6582.2479081567635</v>
      </c>
      <c r="J108" s="15">
        <f t="shared" si="28"/>
        <v>2175.780173695468</v>
      </c>
      <c r="K108" s="15">
        <f t="shared" si="28"/>
        <v>247892.57620143934</v>
      </c>
      <c r="L108" s="15">
        <f t="shared" si="28"/>
        <v>1685721.1189139867</v>
      </c>
      <c r="M108" s="15">
        <f t="shared" si="28"/>
        <v>317117.90219784854</v>
      </c>
      <c r="N108" s="15">
        <f t="shared" si="28"/>
        <v>6562.8568173277554</v>
      </c>
      <c r="O108" s="15">
        <f t="shared" si="28"/>
        <v>26141884.569235541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Actividad'!$Z105*'FE Sectorial'!$H108*'FE Sectorial'!I108*'FE Sectorial'!P108/1000</f>
        <v>733518.057611592</v>
      </c>
      <c r="I109" s="17">
        <f>'Datos Actividad'!$Z105*'FE Sectorial'!$H108*'FE Sectorial'!J108/1000/1000</f>
        <v>1208.962124352</v>
      </c>
      <c r="J109" s="17">
        <f>'Datos Actividad'!$Z105*'FE Sectorial'!$H108*'FE Sectorial'!K108/1000/1000</f>
        <v>39.422677967999995</v>
      </c>
      <c r="K109" s="17">
        <f>'Datos Actividad'!$Z105*'FE Sectorial'!$H108*'FE Sectorial'!L108/1000/1000</f>
        <v>7884.5355935999996</v>
      </c>
      <c r="L109" s="17">
        <f>'Datos Actividad'!$Z105*'FE Sectorial'!$H108*'FE Sectorial'!M108/1000/1000</f>
        <v>5256.3570623999994</v>
      </c>
      <c r="M109" s="17">
        <f>'Datos Actividad'!$Z105*'FE Sectorial'!$H108*'FE Sectorial'!N108/1000/1000</f>
        <v>65.704463279999999</v>
      </c>
      <c r="N109" s="17">
        <f>'Datos Actividad'!$Z105*'FE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771127.29239306401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Actividad'!$Z106*'FE Sectorial'!$H109*'FE Sectorial'!I109*'FE Sectorial'!P109/1000</f>
        <v>11532356.918758886</v>
      </c>
      <c r="I110" s="17">
        <f>'Datos Actividad'!$Z106*'FE Sectorial'!$H109*'FE Sectorial'!J109/1000/1000</f>
        <v>613.0971248675645</v>
      </c>
      <c r="J110" s="17">
        <f>'Datos Actividad'!$Z106*'FE Sectorial'!$H109*'FE Sectorial'!K109/1000/1000</f>
        <v>613.0971248675645</v>
      </c>
      <c r="K110" s="17">
        <f>'Datos Actividad'!$Z106*'FE Sectorial'!$H109*'FE Sectorial'!L109/1000/1000</f>
        <v>125763.51279334657</v>
      </c>
      <c r="L110" s="17">
        <f>'Datos Actividad'!$Z106*'FE Sectorial'!$H109*'FE Sectorial'!M109/1000/1000</f>
        <v>157204.39099168321</v>
      </c>
      <c r="M110" s="17">
        <f>'Datos Actividad'!$Z106*'FE Sectorial'!$H109*'FE Sectorial'!N109/1000/1000</f>
        <v>31440.878198336643</v>
      </c>
      <c r="N110" s="17">
        <f>'Datos Actividad'!$Z106*'FE Sectorial'!$H109*'FE Sectorial'!O109/1000/1000</f>
        <v>5703.2290685354847</v>
      </c>
      <c r="O110" s="87">
        <f>IF(D110&lt;400,H110+I110*'Factores generales'!$M$41+J110*'Factores generales'!$N$41,I110*'Factores generales'!$M$41+J110*'Factores generales'!$N$41)</f>
        <v>11735292.067090049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Actividad'!$Z107*'FE Sectorial'!$H110*'FE Sectorial'!I110*'FE Sectorial'!P110/1000</f>
        <v>13063290.532948174</v>
      </c>
      <c r="I111" s="17">
        <f>'Datos Actividad'!$Z107*'FE Sectorial'!$H110*'FE Sectorial'!J110/1000/1000</f>
        <v>4760.1886589371989</v>
      </c>
      <c r="J111" s="17">
        <f>'Datos Actividad'!$Z107*'FE Sectorial'!$H110*'FE Sectorial'!K110/1000/1000</f>
        <v>1523.2603708599036</v>
      </c>
      <c r="K111" s="17">
        <f>'Datos Actividad'!$Z107*'FE Sectorial'!$H110*'FE Sectorial'!L110/1000/1000</f>
        <v>114244.52781449276</v>
      </c>
      <c r="L111" s="17">
        <f>'Datos Actividad'!$Z107*'FE Sectorial'!$H110*'FE Sectorial'!M110/1000/1000</f>
        <v>1523260.3708599035</v>
      </c>
      <c r="M111" s="17">
        <f>'Datos Actividad'!$Z107*'FE Sectorial'!$H110*'FE Sectorial'!N110/1000/1000</f>
        <v>285611.31953623192</v>
      </c>
      <c r="N111" s="17">
        <f>'Datos Actividad'!$Z107*'FE Sectorial'!$H110*'FE Sectorial'!O110/1000/1000</f>
        <v>859.62774879227061</v>
      </c>
      <c r="O111" s="87">
        <f>IF(D111&lt;400,H111+I111*'Factores generales'!$M$41+J111*'Factores generales'!$N$41,I111*'Factores generales'!$M$41+J111*'Factores generales'!$N$41)</f>
        <v>13635465.209752426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Actividad'!$Z108*'FE Sectorial'!$H111*'FE Sectorial'!I111*'FE Sectorial'!P111/1000</f>
        <v>0</v>
      </c>
      <c r="I112" s="17">
        <f>'Datos Actividad'!$Z108*'FE Sectorial'!$H111*'FE Sectorial'!J111/1000/1000</f>
        <v>0</v>
      </c>
      <c r="J112" s="17">
        <f>'Datos Actividad'!$Z108*'FE Sectorial'!$H111*'FE Sectorial'!K111/1000/1000</f>
        <v>0</v>
      </c>
      <c r="K112" s="17">
        <f>'Datos Actividad'!$Z108*'FE Sectorial'!$H111*'FE Sectorial'!L111/1000/1000</f>
        <v>0</v>
      </c>
      <c r="L112" s="17">
        <f>'Datos Actividad'!$Z108*'FE Sectorial'!$H111*'FE Sectorial'!M111/1000/1000</f>
        <v>0</v>
      </c>
      <c r="M112" s="17">
        <f>'Datos Actividad'!$Z108*'FE Sectorial'!$H111*'FE Sectorial'!N111/1000/1000</f>
        <v>0</v>
      </c>
      <c r="N112" s="17">
        <f>'Datos Actividad'!$Z108*'FE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Actividad'!$Z109*'FE Sectorial'!$H112*'FE Sectorial'!I112*'FE Sectorial'!P112/1000</f>
        <v>0</v>
      </c>
      <c r="I113" s="17">
        <f>'Datos Actividad'!$Z109*'FE Sectorial'!$H112*'FE Sectorial'!J112/1000/1000</f>
        <v>0</v>
      </c>
      <c r="J113" s="17">
        <f>'Datos Actividad'!$Z109*'FE Sectorial'!$H112*'FE Sectorial'!K112/1000/1000</f>
        <v>0</v>
      </c>
      <c r="K113" s="17">
        <f>'Datos Actividad'!$Z109*'FE Sectorial'!$H112*'FE Sectorial'!L112/1000/1000</f>
        <v>0</v>
      </c>
      <c r="L113" s="17">
        <f>'Datos Actividad'!$Z109*'FE Sectorial'!$H112*'FE Sectorial'!M112/1000/1000</f>
        <v>0</v>
      </c>
      <c r="M113" s="17">
        <f>'Datos Actividad'!$Z109*'FE Sectorial'!$H112*'FE Sectorial'!N112/1000/1000</f>
        <v>0</v>
      </c>
      <c r="N113" s="17">
        <f>'Datos Actividad'!$Z109*'FE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2200468.521477412</v>
      </c>
      <c r="I114" s="15">
        <f t="shared" ref="I114:O114" si="29">I115</f>
        <v>116.98397243367423</v>
      </c>
      <c r="J114" s="15">
        <f t="shared" si="29"/>
        <v>116.98397243367423</v>
      </c>
      <c r="K114" s="15">
        <f t="shared" si="29"/>
        <v>23996.712294087021</v>
      </c>
      <c r="L114" s="15">
        <f t="shared" si="29"/>
        <v>29995.890367608776</v>
      </c>
      <c r="M114" s="15">
        <f t="shared" si="29"/>
        <v>5999.1780735217553</v>
      </c>
      <c r="N114" s="15">
        <f t="shared" si="29"/>
        <v>1088.222999383016</v>
      </c>
      <c r="O114" s="15">
        <f t="shared" si="29"/>
        <v>2239190.2163529578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Actividad'!$Z111*'FE Sectorial'!$H114*'FE Sectorial'!I114*'FE Sectorial'!P114/1000</f>
        <v>2200468.521477412</v>
      </c>
      <c r="I115" s="17">
        <f>'Datos Actividad'!$Z111*'FE Sectorial'!$H114*'FE Sectorial'!J114/1000/1000</f>
        <v>116.98397243367423</v>
      </c>
      <c r="J115" s="17">
        <f>'Datos Actividad'!$Z111*'FE Sectorial'!$H114*'FE Sectorial'!K114/1000/1000</f>
        <v>116.98397243367423</v>
      </c>
      <c r="K115" s="17">
        <f>'Datos Actividad'!$Z111*'FE Sectorial'!$H114*'FE Sectorial'!L114/1000/1000</f>
        <v>23996.712294087021</v>
      </c>
      <c r="L115" s="17">
        <f>'Datos Actividad'!$Z111*'FE Sectorial'!$H114*'FE Sectorial'!M114/1000/1000</f>
        <v>29995.890367608776</v>
      </c>
      <c r="M115" s="17">
        <f>'Datos Actividad'!$Z111*'FE Sectorial'!$H114*'FE Sectorial'!N114/1000/1000</f>
        <v>5999.1780735217553</v>
      </c>
      <c r="N115" s="17">
        <f>'Datos Actividad'!$Z111*'FE Sectorial'!$H114*'FE Sectorial'!O114/1000/1000</f>
        <v>1088.222999383016</v>
      </c>
      <c r="O115" s="87">
        <f>IF(D115&lt;400,H115+I115*'Factores generales'!$M$41+J115*'Factores generales'!$N$41,I115*'Factores generales'!$M$41+J115*'Factores generales'!$N$41)</f>
        <v>2239190.2163529578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505194.81146743667</v>
      </c>
      <c r="I116" s="134">
        <f t="shared" ref="I116:O116" si="30">I117</f>
        <v>28.579430848155816</v>
      </c>
      <c r="J116" s="134">
        <f t="shared" si="30"/>
        <v>196.9570415077726</v>
      </c>
      <c r="K116" s="134">
        <f t="shared" si="30"/>
        <v>8263.9318115149345</v>
      </c>
      <c r="L116" s="134">
        <f t="shared" si="30"/>
        <v>6886.6098429291114</v>
      </c>
      <c r="M116" s="134">
        <f t="shared" si="30"/>
        <v>1377.3219685858223</v>
      </c>
      <c r="N116" s="134">
        <f t="shared" si="30"/>
        <v>249.83979895277707</v>
      </c>
      <c r="O116" s="134">
        <f t="shared" si="30"/>
        <v>566851.66238265741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Actividad'!$Z113*'FE Sectorial'!$H116*'FE Sectorial'!I116*'FE Sectorial'!P116/1000</f>
        <v>505194.81146743667</v>
      </c>
      <c r="I117" s="17">
        <f>'Datos Actividad'!$Z113*'FE Sectorial'!$H116*'FE Sectorial'!J116/1000/1000</f>
        <v>28.579430848155816</v>
      </c>
      <c r="J117" s="17">
        <f>'Datos Actividad'!$Z113*'FE Sectorial'!$H116*'FE Sectorial'!K116/1000/1000</f>
        <v>196.9570415077726</v>
      </c>
      <c r="K117" s="17">
        <f>'Datos Actividad'!$Z113*'FE Sectorial'!$H116*'FE Sectorial'!L116/1000/1000</f>
        <v>8263.9318115149345</v>
      </c>
      <c r="L117" s="17">
        <f>'Datos Actividad'!$Z113*'FE Sectorial'!$H116*'FE Sectorial'!M116/1000/1000</f>
        <v>6886.6098429291114</v>
      </c>
      <c r="M117" s="17">
        <f>'Datos Actividad'!$Z113*'FE Sectorial'!$H116*'FE Sectorial'!N116/1000/1000</f>
        <v>1377.3219685858223</v>
      </c>
      <c r="N117" s="17">
        <f>'Datos Actividad'!$Z113*'FE Sectorial'!$H116*'FE Sectorial'!O116/1000/1000</f>
        <v>249.83979895277707</v>
      </c>
      <c r="O117" s="87">
        <f>IF(D117&lt;400,H117+I117*'Factores generales'!$M$41+J117*'Factores generales'!$N$41,I117*'Factores generales'!$M$41+J117*'Factores generales'!$N$41)</f>
        <v>566851.66238265741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192120.87480661334</v>
      </c>
      <c r="I118" s="134">
        <f t="shared" ref="I118:O118" si="31">I122</f>
        <v>18.022951702099174</v>
      </c>
      <c r="J118" s="134">
        <f t="shared" si="31"/>
        <v>5.1494147720283365</v>
      </c>
      <c r="K118" s="134">
        <f t="shared" si="31"/>
        <v>3862.0610790212522</v>
      </c>
      <c r="L118" s="134">
        <f t="shared" si="31"/>
        <v>2574.7073860141682</v>
      </c>
      <c r="M118" s="134">
        <f t="shared" si="31"/>
        <v>514.94147720283354</v>
      </c>
      <c r="N118" s="134">
        <f t="shared" si="31"/>
        <v>253.95636842283977</v>
      </c>
      <c r="O118" s="134">
        <f t="shared" si="31"/>
        <v>194095.67537168623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1297082.9543205597</v>
      </c>
      <c r="I119" s="15">
        <f t="shared" ref="I119:O119" si="32">I120+I121</f>
        <v>120.91241007999999</v>
      </c>
      <c r="J119" s="15">
        <f t="shared" si="32"/>
        <v>34.546402879999995</v>
      </c>
      <c r="K119" s="15">
        <f t="shared" si="32"/>
        <v>25909.802159999992</v>
      </c>
      <c r="L119" s="15">
        <f t="shared" si="32"/>
        <v>17273.201439999997</v>
      </c>
      <c r="M119" s="15">
        <f t="shared" si="32"/>
        <v>3454.6402879999996</v>
      </c>
      <c r="N119" s="15">
        <f t="shared" si="32"/>
        <v>2108.8171487999998</v>
      </c>
      <c r="O119" s="15">
        <f t="shared" si="32"/>
        <v>1310331.4998250399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Actividad'!$Z116*'FE Sectorial'!$H119*'FE Sectorial'!I119*'FE Sectorial'!P119/1000</f>
        <v>594896.78795975994</v>
      </c>
      <c r="I120" s="17">
        <f>'Datos Actividad'!$Z116*'FE Sectorial'!$H119*'FE Sectorial'!J119/1000/1000</f>
        <v>56.765734479999992</v>
      </c>
      <c r="J120" s="17">
        <f>'Datos Actividad'!$Z116*'FE Sectorial'!$H119*'FE Sectorial'!K119/1000/1000</f>
        <v>16.218781279999998</v>
      </c>
      <c r="K120" s="17">
        <f>'Datos Actividad'!$Z116*'FE Sectorial'!$H119*'FE Sectorial'!L119/1000/1000</f>
        <v>12164.085959999997</v>
      </c>
      <c r="L120" s="17">
        <f>'Datos Actividad'!$Z116*'FE Sectorial'!$H119*'FE Sectorial'!M119/1000/1000</f>
        <v>8109.3906399999987</v>
      </c>
      <c r="M120" s="17">
        <f>'Datos Actividad'!$Z116*'FE Sectorial'!$H119*'FE Sectorial'!N119/1000/1000</f>
        <v>1621.8781279999998</v>
      </c>
      <c r="N120" s="17">
        <f>'Datos Actividad'!$Z116*'FE Sectorial'!$H119*'FE Sectorial'!O119/1000/1000</f>
        <v>294.20114879999994</v>
      </c>
      <c r="O120" s="87">
        <f>IF(D120&lt;400,H120+I120*'Factores generales'!$M$41+J120*'Factores generales'!$N$41,I120*'Factores generales'!$M$41+J120*'Factores generales'!$N$41)</f>
        <v>601116.69058063999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Actividad'!$Z117*'FE Sectorial'!$H120*'FE Sectorial'!I120*'FE Sectorial'!P120/1000</f>
        <v>702186.16636079992</v>
      </c>
      <c r="I121" s="17">
        <f>'Datos Actividad'!$Z117*'FE Sectorial'!$H120*'FE Sectorial'!J120/1000/1000</f>
        <v>64.146675599999995</v>
      </c>
      <c r="J121" s="17">
        <f>'Datos Actividad'!$Z117*'FE Sectorial'!$H120*'FE Sectorial'!K120/1000/1000</f>
        <v>18.327621599999997</v>
      </c>
      <c r="K121" s="17">
        <f>'Datos Actividad'!$Z117*'FE Sectorial'!$H120*'FE Sectorial'!L120/1000/1000</f>
        <v>13745.716199999997</v>
      </c>
      <c r="L121" s="17">
        <f>'Datos Actividad'!$Z117*'FE Sectorial'!$H120*'FE Sectorial'!M120/1000/1000</f>
        <v>9163.8107999999993</v>
      </c>
      <c r="M121" s="17">
        <f>'Datos Actividad'!$Z117*'FE Sectorial'!$H120*'FE Sectorial'!N120/1000/1000</f>
        <v>1832.7621599999998</v>
      </c>
      <c r="N121" s="17">
        <f>'Datos Actividad'!$Z117*'FE Sectorial'!$H120*'FE Sectorial'!O120/1000/1000</f>
        <v>1814.6159999999998</v>
      </c>
      <c r="O121" s="87">
        <f>IF(D121&lt;400,H121+I121*'Factores generales'!$M$41+J121*'Factores generales'!$N$41,I121*'Factores generales'!$M$41+J121*'Factores generales'!$N$41)</f>
        <v>709214.80924439989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192120.87480661334</v>
      </c>
      <c r="I122" s="15">
        <f t="shared" ref="I122:O122" si="33">I123+I124</f>
        <v>18.022951702099174</v>
      </c>
      <c r="J122" s="15">
        <f t="shared" si="33"/>
        <v>5.1494147720283365</v>
      </c>
      <c r="K122" s="15">
        <f t="shared" si="33"/>
        <v>3862.0610790212522</v>
      </c>
      <c r="L122" s="15">
        <f t="shared" si="33"/>
        <v>2574.7073860141682</v>
      </c>
      <c r="M122" s="15">
        <f t="shared" si="33"/>
        <v>514.94147720283354</v>
      </c>
      <c r="N122" s="15">
        <f t="shared" si="33"/>
        <v>253.95636842283977</v>
      </c>
      <c r="O122" s="15">
        <f t="shared" si="33"/>
        <v>194095.67537168623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Actividad'!$Z119*'FE Sectorial'!$H122*'FE Sectorial'!I122*'FE Sectorial'!P122/1000</f>
        <v>116059.76167861324</v>
      </c>
      <c r="I123" s="17">
        <f>'Datos Actividad'!$Z119*'FE Sectorial'!$H122*'FE Sectorial'!J122/1000/1000</f>
        <v>11.074555702099167</v>
      </c>
      <c r="J123" s="17">
        <f>'Datos Actividad'!$Z119*'FE Sectorial'!$H122*'FE Sectorial'!K122/1000/1000</f>
        <v>3.1641587720283337</v>
      </c>
      <c r="K123" s="17">
        <f>'Datos Actividad'!$Z119*'FE Sectorial'!$H122*'FE Sectorial'!L122/1000/1000</f>
        <v>2373.1190790212504</v>
      </c>
      <c r="L123" s="17">
        <f>'Datos Actividad'!$Z119*'FE Sectorial'!$H122*'FE Sectorial'!M122/1000/1000</f>
        <v>1582.0793860141669</v>
      </c>
      <c r="M123" s="17">
        <f>'Datos Actividad'!$Z119*'FE Sectorial'!$H122*'FE Sectorial'!N122/1000/1000</f>
        <v>316.41587720283337</v>
      </c>
      <c r="N123" s="17">
        <f>'Datos Actividad'!$Z119*'FE Sectorial'!$H122*'FE Sectorial'!O122/1000/1000</f>
        <v>57.396368422839537</v>
      </c>
      <c r="O123" s="87">
        <f>IF(D123&lt;400,H123+I123*'Factores generales'!$M$41+J123*'Factores generales'!$N$41,I123*'Factores generales'!$M$41+J123*'Factores generales'!$N$41)</f>
        <v>117273.21656768612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Actividad'!$Z120*'FE Sectorial'!$H123*'FE Sectorial'!I123*'FE Sectorial'!P123/1000</f>
        <v>76061.113128000099</v>
      </c>
      <c r="I124" s="17">
        <f>'Datos Actividad'!$Z120*'FE Sectorial'!$H123*'FE Sectorial'!J123/1000/1000</f>
        <v>6.9483960000000087</v>
      </c>
      <c r="J124" s="17">
        <f>'Datos Actividad'!$Z120*'FE Sectorial'!$H123*'FE Sectorial'!K123/1000/1000</f>
        <v>1.9852560000000024</v>
      </c>
      <c r="K124" s="17">
        <f>'Datos Actividad'!$Z120*'FE Sectorial'!$H123*'FE Sectorial'!L123/1000/1000</f>
        <v>1488.9420000000016</v>
      </c>
      <c r="L124" s="17">
        <f>'Datos Actividad'!$Z120*'FE Sectorial'!$H123*'FE Sectorial'!M123/1000/1000</f>
        <v>992.62800000000118</v>
      </c>
      <c r="M124" s="17">
        <f>'Datos Actividad'!$Z120*'FE Sectorial'!$H123*'FE Sectorial'!N123/1000/1000</f>
        <v>198.52560000000022</v>
      </c>
      <c r="N124" s="17">
        <f>'Datos Actividad'!$Z120*'FE Sectorial'!$H123*'FE Sectorial'!O123/1000/1000</f>
        <v>196.56000000000023</v>
      </c>
      <c r="O124" s="87">
        <f>IF(D124&lt;400,H124+I124*'Factores generales'!$M$41+J124*'Factores generales'!$N$41,I124*'Factores generales'!$M$41+J124*'Factores generales'!$N$41)</f>
        <v>76822.458804000096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1311794.9437030966</v>
      </c>
      <c r="I125" s="134">
        <f t="shared" si="34"/>
        <v>23.611191320509008</v>
      </c>
      <c r="J125" s="134">
        <f t="shared" si="34"/>
        <v>2.3822447791097248</v>
      </c>
      <c r="K125" s="134">
        <f t="shared" si="34"/>
        <v>3524.0739921939989</v>
      </c>
      <c r="L125" s="134">
        <f t="shared" si="34"/>
        <v>469.05497935135668</v>
      </c>
      <c r="M125" s="134">
        <f t="shared" si="34"/>
        <v>117.35176836725093</v>
      </c>
      <c r="N125" s="134">
        <f t="shared" si="34"/>
        <v>2.5547294117647059</v>
      </c>
      <c r="O125" s="134">
        <f t="shared" si="34"/>
        <v>1313029.2746023517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1311794.9437030966</v>
      </c>
      <c r="I126" s="15">
        <f t="shared" si="35"/>
        <v>23.611191320509008</v>
      </c>
      <c r="J126" s="15">
        <f t="shared" si="35"/>
        <v>2.3822447791097248</v>
      </c>
      <c r="K126" s="15">
        <f t="shared" si="35"/>
        <v>3524.0739921939989</v>
      </c>
      <c r="L126" s="15">
        <f t="shared" si="35"/>
        <v>469.05497935135668</v>
      </c>
      <c r="M126" s="15">
        <f t="shared" si="35"/>
        <v>117.35176836725093</v>
      </c>
      <c r="N126" s="15">
        <f t="shared" si="35"/>
        <v>2.5547294117647059</v>
      </c>
      <c r="O126" s="15">
        <f t="shared" si="35"/>
        <v>1313029.2746023517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Actividad'!$Z123*'FE Sectorial'!$H126*'FE Sectorial'!I126*'FE Sectorial'!P126/1000</f>
        <v>1289102.3357180427</v>
      </c>
      <c r="I127" s="17">
        <f>'Datos Actividad'!$Z123*'FE Sectorial'!$H126*'FE Sectorial'!J126/1000/1000</f>
        <v>23.094121869920773</v>
      </c>
      <c r="J127" s="17">
        <f>'Datos Actividad'!$Z123*'FE Sectorial'!$H126*'FE Sectorial'!K126/1000/1000</f>
        <v>2.3094121869920778</v>
      </c>
      <c r="K127" s="17">
        <f>'Datos Actividad'!$Z123*'FE Sectorial'!$H126*'FE Sectorial'!L126/1000/1000</f>
        <v>3464.1182804881164</v>
      </c>
      <c r="L127" s="17">
        <f>'Datos Actividad'!$Z123*'FE Sectorial'!$H126*'FE Sectorial'!M126/1000/1000</f>
        <v>461.8824373984155</v>
      </c>
      <c r="M127" s="17">
        <f>'Datos Actividad'!$Z123*'FE Sectorial'!$H126*'FE Sectorial'!N126/1000/1000</f>
        <v>115.47060934960388</v>
      </c>
      <c r="N127" s="17">
        <f>'Datos Actividad'!$Z123*'FE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1290303.2300552786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Actividad'!$Z124*'FE Sectorial'!$H127*'FE Sectorial'!I127*'FE Sectorial'!P127/1000</f>
        <v>5165.854475294117</v>
      </c>
      <c r="I128" s="17">
        <f>'Datos Actividad'!$Z124*'FE Sectorial'!$H127*'FE Sectorial'!J127/1000/1000</f>
        <v>0.2112564705882353</v>
      </c>
      <c r="J128" s="17">
        <f>'Datos Actividad'!$Z124*'FE Sectorial'!$H127*'FE Sectorial'!K127/1000/1000</f>
        <v>4.2251294117647054E-2</v>
      </c>
      <c r="K128" s="17">
        <f>'Datos Actividad'!$Z124*'FE Sectorial'!$H127*'FE Sectorial'!L127/1000/1000</f>
        <v>14.083764705882352</v>
      </c>
      <c r="L128" s="17">
        <f>'Datos Actividad'!$Z124*'FE Sectorial'!$H127*'FE Sectorial'!M127/1000/1000</f>
        <v>1.0562823529411765</v>
      </c>
      <c r="M128" s="17">
        <f>'Datos Actividad'!$Z124*'FE Sectorial'!$H127*'FE Sectorial'!N127/1000/1000</f>
        <v>0.35209411764705878</v>
      </c>
      <c r="N128" s="17">
        <f>'Datos Actividad'!$Z124*'FE Sectorial'!$H127*'FE Sectorial'!O127/1000/1000</f>
        <v>2.5547294117647059</v>
      </c>
      <c r="O128" s="87">
        <f>IF(D128&lt;400,H128+I128*'Factores generales'!$M$41+J128*'Factores generales'!$N$41,I128*'Factores generales'!$M$41+J128*'Factores generales'!$N$41)</f>
        <v>5183.3887623529399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Actividad'!$Z125*'FE Sectorial'!$H128*'FE Sectorial'!I128*'FE Sectorial'!P128/1000</f>
        <v>17526.753509760001</v>
      </c>
      <c r="I129" s="17">
        <f>'Datos Actividad'!$Z125*'FE Sectorial'!$H128*'FE Sectorial'!J128/1000/1000</f>
        <v>0.30581297999999996</v>
      </c>
      <c r="J129" s="17">
        <f>'Datos Actividad'!$Z125*'FE Sectorial'!$H128*'FE Sectorial'!K128/1000/1000</f>
        <v>3.0581298E-2</v>
      </c>
      <c r="K129" s="17">
        <f>'Datos Actividad'!$Z125*'FE Sectorial'!$H128*'FE Sectorial'!L128/1000/1000</f>
        <v>45.871946999999999</v>
      </c>
      <c r="L129" s="17">
        <f>'Datos Actividad'!$Z125*'FE Sectorial'!$H128*'FE Sectorial'!M128/1000/1000</f>
        <v>6.1162595999999994</v>
      </c>
      <c r="M129" s="17">
        <f>'Datos Actividad'!$Z125*'FE Sectorial'!$H128*'FE Sectorial'!N128/1000/1000</f>
        <v>1.5290648999999998</v>
      </c>
      <c r="N129" s="17">
        <f>'Datos Actividad'!$Z125*'FE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17542.655784720002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22018044.742534243</v>
      </c>
      <c r="I131" s="129">
        <f t="shared" si="36"/>
        <v>1792.3134852856685</v>
      </c>
      <c r="J131" s="129">
        <f t="shared" si="36"/>
        <v>140.61926277768163</v>
      </c>
      <c r="K131" s="129">
        <f t="shared" si="36"/>
        <v>125429.43067868693</v>
      </c>
      <c r="L131" s="129">
        <f t="shared" si="36"/>
        <v>157490.77416809837</v>
      </c>
      <c r="M131" s="129">
        <f t="shared" si="36"/>
        <v>20633.697735771577</v>
      </c>
      <c r="N131" s="129">
        <f t="shared" si="36"/>
        <v>6647.3375070965321</v>
      </c>
      <c r="O131" s="129">
        <f t="shared" si="36"/>
        <v>22099275.297186326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3932066.5546617047</v>
      </c>
      <c r="I132" s="134">
        <f>SUM(I133:I137)</f>
        <v>100.67644392264303</v>
      </c>
      <c r="J132" s="134">
        <f t="shared" ref="J132:O132" si="37">SUM(J133:J137)</f>
        <v>15.512540839323128</v>
      </c>
      <c r="K132" s="134">
        <f t="shared" si="37"/>
        <v>8749.087400161161</v>
      </c>
      <c r="L132" s="134">
        <f t="shared" si="37"/>
        <v>2674.3670690733279</v>
      </c>
      <c r="M132" s="134">
        <f t="shared" si="37"/>
        <v>321.88567137792103</v>
      </c>
      <c r="N132" s="134">
        <f t="shared" si="37"/>
        <v>1049.2461266720388</v>
      </c>
      <c r="O132" s="134">
        <f t="shared" si="37"/>
        <v>3938989.6476442702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Actividad'!$Z129*'FE Sectorial'!$H132*'FE Sectorial'!I132*'FE Sectorial'!P132/1000</f>
        <v>0</v>
      </c>
      <c r="I133" s="17">
        <f>'Datos Actividad'!$Z129*'FE Sectorial'!$H132*'FE Sectorial'!J132/1000/1000</f>
        <v>0</v>
      </c>
      <c r="J133" s="17">
        <f>'Datos Actividad'!$Z129*'FE Sectorial'!$H132*'FE Sectorial'!K132/1000/1000</f>
        <v>0</v>
      </c>
      <c r="K133" s="17">
        <f>'Datos Actividad'!$Z129*'FE Sectorial'!$H132*'FE Sectorial'!L132/1000/1000</f>
        <v>0</v>
      </c>
      <c r="L133" s="17">
        <f>'Datos Actividad'!$Z129*'FE Sectorial'!$H132*'FE Sectorial'!M132/1000/1000</f>
        <v>0</v>
      </c>
      <c r="M133" s="17">
        <f>'Datos Actividad'!$Z129*'FE Sectorial'!$H132*'FE Sectorial'!N132/1000/1000</f>
        <v>0</v>
      </c>
      <c r="N133" s="17">
        <f>'Datos Actividad'!$Z129*'FE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Actividad'!$Z130*'FE Sectorial'!$H133*'FE Sectorial'!I133*'FE Sectorial'!P133/1000</f>
        <v>2475478.7204399998</v>
      </c>
      <c r="I134" s="17">
        <f>'Datos Actividad'!$Z130*'FE Sectorial'!$H133*'FE Sectorial'!J133/1000/1000</f>
        <v>44.347919999999995</v>
      </c>
      <c r="J134" s="17">
        <f>'Datos Actividad'!$Z130*'FE Sectorial'!$H133*'FE Sectorial'!K133/1000/1000</f>
        <v>4.4347920000000007</v>
      </c>
      <c r="K134" s="17">
        <f>'Datos Actividad'!$Z130*'FE Sectorial'!$H133*'FE Sectorial'!L133/1000/1000</f>
        <v>6652.1880000000001</v>
      </c>
      <c r="L134" s="17">
        <f>'Datos Actividad'!$Z130*'FE Sectorial'!$H133*'FE Sectorial'!M133/1000/1000</f>
        <v>2217.3960000000002</v>
      </c>
      <c r="M134" s="17">
        <f>'Datos Actividad'!$Z130*'FE Sectorial'!$H133*'FE Sectorial'!N133/1000/1000</f>
        <v>221.7396</v>
      </c>
      <c r="N134" s="17">
        <f>'Datos Actividad'!$Z130*'FE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2477784.8122799997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Actividad'!$Z131*'FE Sectorial'!$H134*'FE Sectorial'!I134*'FE Sectorial'!P134/1000</f>
        <v>117414.19941041095</v>
      </c>
      <c r="I135" s="17">
        <f>'Datos Actividad'!$Z131*'FE Sectorial'!$H134*'FE Sectorial'!J134/1000/1000</f>
        <v>1.8795594520547945</v>
      </c>
      <c r="J135" s="17">
        <f>'Datos Actividad'!$Z131*'FE Sectorial'!$H134*'FE Sectorial'!K134/1000/1000</f>
        <v>0.18795594520547945</v>
      </c>
      <c r="K135" s="17">
        <f>'Datos Actividad'!$Z131*'FE Sectorial'!$H134*'FE Sectorial'!L134/1000/1000</f>
        <v>281.93391780821918</v>
      </c>
      <c r="L135" s="17">
        <f>'Datos Actividad'!$Z131*'FE Sectorial'!$H134*'FE Sectorial'!M134/1000/1000</f>
        <v>93.977972602739726</v>
      </c>
      <c r="M135" s="17">
        <f>'Datos Actividad'!$Z131*'FE Sectorial'!$H134*'FE Sectorial'!N134/1000/1000</f>
        <v>9.3977972602739719</v>
      </c>
      <c r="N135" s="17">
        <f>'Datos Actividad'!$Z131*'FE Sectorial'!$H134*'FE Sectorial'!O134/1000/1000</f>
        <v>7.9473972602739735</v>
      </c>
      <c r="O135" s="87">
        <f>IF(D135&lt;400,H135+I135*'Factores generales'!$M$41+J135*'Factores generales'!$N$41,I135*'Factores generales'!$M$41+J135*'Factores generales'!$N$41)</f>
        <v>117511.93650191781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Actividad'!$Z132*'FE Sectorial'!$H135*'FE Sectorial'!I135*'FE Sectorial'!P135/1000</f>
        <v>1157797.1342752941</v>
      </c>
      <c r="I136" s="17">
        <f>'Datos Actividad'!$Z132*'FE Sectorial'!$H135*'FE Sectorial'!J135/1000/1000</f>
        <v>47.347856470588241</v>
      </c>
      <c r="J136" s="17">
        <f>'Datos Actividad'!$Z132*'FE Sectorial'!$H135*'FE Sectorial'!K135/1000/1000</f>
        <v>9.4695712941176478</v>
      </c>
      <c r="K136" s="17">
        <f>'Datos Actividad'!$Z132*'FE Sectorial'!$H135*'FE Sectorial'!L135/1000/1000</f>
        <v>1578.2618823529413</v>
      </c>
      <c r="L136" s="17">
        <f>'Datos Actividad'!$Z132*'FE Sectorial'!$H135*'FE Sectorial'!M135/1000/1000</f>
        <v>315.65237647058825</v>
      </c>
      <c r="M136" s="17">
        <f>'Datos Actividad'!$Z132*'FE Sectorial'!$H135*'FE Sectorial'!N135/1000/1000</f>
        <v>78.913094117647063</v>
      </c>
      <c r="N136" s="17">
        <f>'Datos Actividad'!$Z132*'FE Sectorial'!$H135*'FE Sectorial'!O135/1000/1000</f>
        <v>572.57872941176481</v>
      </c>
      <c r="O136" s="87">
        <f>IF(D136&lt;400,H136+I136*'Factores generales'!$M$41+J136*'Factores generales'!$N$41,I136*'Factores generales'!$M$41+J136*'Factores generales'!$N$41)</f>
        <v>1161727.0063623528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Actividad'!$Z133*'FE Sectorial'!$H136*'FE Sectorial'!I136*'FE Sectorial'!P136/1000</f>
        <v>181376.50053600001</v>
      </c>
      <c r="I137" s="17">
        <f>'Datos Actividad'!$Z133*'FE Sectorial'!$H136*'FE Sectorial'!J136/1000/1000</f>
        <v>7.101108</v>
      </c>
      <c r="J137" s="17">
        <f>'Datos Actividad'!$Z133*'FE Sectorial'!$H136*'FE Sectorial'!K136/1000/1000</f>
        <v>1.4202215999999999</v>
      </c>
      <c r="K137" s="17">
        <f>'Datos Actividad'!$Z133*'FE Sectorial'!$H136*'FE Sectorial'!L136/1000/1000</f>
        <v>236.70359999999999</v>
      </c>
      <c r="L137" s="17">
        <f>'Datos Actividad'!$Z133*'FE Sectorial'!$H136*'FE Sectorial'!M136/1000/1000</f>
        <v>47.340720000000005</v>
      </c>
      <c r="M137" s="17">
        <f>'Datos Actividad'!$Z133*'FE Sectorial'!$H136*'FE Sectorial'!N136/1000/1000</f>
        <v>11.835180000000001</v>
      </c>
      <c r="N137" s="17">
        <f>'Datos Actividad'!$Z133*'FE Sectorial'!$H136*'FE Sectorial'!O136/1000/1000</f>
        <v>468.72</v>
      </c>
      <c r="O137" s="87">
        <f>IF(D137&lt;400,H137+I137*'Factores generales'!$M$41+J137*'Factores generales'!$N$41,I137*'Factores generales'!$M$41+J137*'Factores generales'!$N$41)</f>
        <v>181965.89250000002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13027745.680813717</v>
      </c>
      <c r="I138" s="134">
        <f>SUM(I139:I144)</f>
        <v>1484.7817472453785</v>
      </c>
      <c r="J138" s="134">
        <f t="shared" ref="J138:O138" si="38">SUM(J139:J144)</f>
        <v>83.735663114829094</v>
      </c>
      <c r="K138" s="134">
        <f t="shared" si="38"/>
        <v>33938.225631466943</v>
      </c>
      <c r="L138" s="134">
        <f t="shared" si="38"/>
        <v>85864.642393142698</v>
      </c>
      <c r="M138" s="134">
        <f t="shared" si="38"/>
        <v>6521.4591232171833</v>
      </c>
      <c r="N138" s="134">
        <f t="shared" si="38"/>
        <v>3096.5854980715521</v>
      </c>
      <c r="O138" s="134">
        <f t="shared" si="38"/>
        <v>13084884.153071467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Actividad'!$Z135*'FE Sectorial'!$H138*'FE Sectorial'!I138*'FE Sectorial'!P138/1000</f>
        <v>798033.6</v>
      </c>
      <c r="I139" s="17">
        <f>'Datos Actividad'!$Z135*'FE Sectorial'!$H138*'FE Sectorial'!J138/1000/1000</f>
        <v>245.7</v>
      </c>
      <c r="J139" s="17">
        <f>'Datos Actividad'!$Z135*'FE Sectorial'!$H138*'FE Sectorial'!K138/1000/1000</f>
        <v>32.76</v>
      </c>
      <c r="K139" s="17">
        <f>'Datos Actividad'!$Z135*'FE Sectorial'!$H138*'FE Sectorial'!L138/1000/1000</f>
        <v>819</v>
      </c>
      <c r="L139" s="17">
        <f>'Datos Actividad'!$Z135*'FE Sectorial'!$H138*'FE Sectorial'!M138/1000/1000</f>
        <v>40950</v>
      </c>
      <c r="M139" s="17">
        <f>'Datos Actividad'!$Z135*'FE Sectorial'!$H138*'FE Sectorial'!N138/1000/1000</f>
        <v>4914</v>
      </c>
      <c r="N139" s="17">
        <f>'Datos Actividad'!$Z135*'FE Sectorial'!$H138*'FE Sectorial'!O138/1000/1000</f>
        <v>2100</v>
      </c>
      <c r="O139" s="87">
        <f>IF(D139&lt;400,H139+I139*'Factores generales'!$M$41+J139*'Factores generales'!$N$41,I139*'Factores generales'!$M$41+J139*'Factores generales'!$N$41)</f>
        <v>15315.3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Actividad'!$Z136*'FE Sectorial'!$H139*'FE Sectorial'!I139*'FE Sectorial'!P139/1000</f>
        <v>0</v>
      </c>
      <c r="I140" s="17">
        <f>'Datos Actividad'!$Z136*'FE Sectorial'!$H139*'FE Sectorial'!J139/1000/1000</f>
        <v>0</v>
      </c>
      <c r="J140" s="17">
        <f>'Datos Actividad'!$Z136*'FE Sectorial'!$H139*'FE Sectorial'!K139/1000/1000</f>
        <v>0</v>
      </c>
      <c r="K140" s="17">
        <f>'Datos Actividad'!$Z136*'FE Sectorial'!$H139*'FE Sectorial'!L139/1000/1000</f>
        <v>0</v>
      </c>
      <c r="L140" s="17">
        <f>'Datos Actividad'!$Z136*'FE Sectorial'!$H139*'FE Sectorial'!M139/1000/1000</f>
        <v>0</v>
      </c>
      <c r="M140" s="17">
        <f>'Datos Actividad'!$Z136*'FE Sectorial'!$H139*'FE Sectorial'!N139/1000/1000</f>
        <v>0</v>
      </c>
      <c r="N140" s="17">
        <f>'Datos Actividad'!$Z136*'FE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Actividad'!$Z137*'FE Sectorial'!$H140*'FE Sectorial'!I140*'FE Sectorial'!P140/1000</f>
        <v>9129411.405576</v>
      </c>
      <c r="I141" s="17">
        <f>'Datos Actividad'!$Z137*'FE Sectorial'!$H140*'FE Sectorial'!J140/1000/1000</f>
        <v>163.552368</v>
      </c>
      <c r="J141" s="17">
        <f>'Datos Actividad'!$Z137*'FE Sectorial'!$H140*'FE Sectorial'!K140/1000/1000</f>
        <v>16.3552368</v>
      </c>
      <c r="K141" s="17">
        <f>'Datos Actividad'!$Z137*'FE Sectorial'!$H140*'FE Sectorial'!L140/1000/1000</f>
        <v>24532.855199999998</v>
      </c>
      <c r="L141" s="17">
        <f>'Datos Actividad'!$Z137*'FE Sectorial'!$H140*'FE Sectorial'!M140/1000/1000</f>
        <v>8177.6184000000003</v>
      </c>
      <c r="M141" s="17">
        <f>'Datos Actividad'!$Z137*'FE Sectorial'!$H140*'FE Sectorial'!N140/1000/1000</f>
        <v>817.76184000000001</v>
      </c>
      <c r="N141" s="17">
        <f>'Datos Actividad'!$Z137*'FE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9137916.1287120003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Actividad'!$Z138*'FE Sectorial'!$H141*'FE Sectorial'!I141*'FE Sectorial'!P141/1000</f>
        <v>2619605.9895484927</v>
      </c>
      <c r="I142" s="17">
        <f>'Datos Actividad'!$Z138*'FE Sectorial'!$H141*'FE Sectorial'!J141/1000/1000</f>
        <v>41.934495342465745</v>
      </c>
      <c r="J142" s="17">
        <f>'Datos Actividad'!$Z138*'FE Sectorial'!$H141*'FE Sectorial'!K141/1000/1000</f>
        <v>4.1934495342465743</v>
      </c>
      <c r="K142" s="17">
        <f>'Datos Actividad'!$Z138*'FE Sectorial'!$H141*'FE Sectorial'!L141/1000/1000</f>
        <v>6290.1743013698615</v>
      </c>
      <c r="L142" s="17">
        <f>'Datos Actividad'!$Z138*'FE Sectorial'!$H141*'FE Sectorial'!M141/1000/1000</f>
        <v>2096.7247671232872</v>
      </c>
      <c r="M142" s="17">
        <f>'Datos Actividad'!$Z138*'FE Sectorial'!$H141*'FE Sectorial'!N141/1000/1000</f>
        <v>209.67247671232874</v>
      </c>
      <c r="N142" s="17">
        <f>'Datos Actividad'!$Z138*'FE Sectorial'!$H141*'FE Sectorial'!O141/1000/1000</f>
        <v>177.31287671232874</v>
      </c>
      <c r="O142" s="87">
        <f>IF(D142&lt;400,H142+I142*'Factores generales'!$M$41+J142*'Factores generales'!$N$41,I142*'Factores generales'!$M$41+J142*'Factores generales'!$N$41)</f>
        <v>2621786.5833063009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Actividad'!$Z139*'FE Sectorial'!$H142*'FE Sectorial'!I142*'FE Sectorial'!P142/1000</f>
        <v>1278728.2856892233</v>
      </c>
      <c r="I143" s="17">
        <f>'Datos Actividad'!$Z139*'FE Sectorial'!$H142*'FE Sectorial'!J142/1000/1000</f>
        <v>54.194883902912622</v>
      </c>
      <c r="J143" s="17">
        <f>'Datos Actividad'!$Z139*'FE Sectorial'!$H142*'FE Sectorial'!K142/1000/1000</f>
        <v>10.838976780582525</v>
      </c>
      <c r="K143" s="17">
        <f>'Datos Actividad'!$Z139*'FE Sectorial'!$H142*'FE Sectorial'!L142/1000/1000</f>
        <v>1806.4961300970874</v>
      </c>
      <c r="L143" s="17">
        <f>'Datos Actividad'!$Z139*'FE Sectorial'!$H142*'FE Sectorial'!M142/1000/1000</f>
        <v>361.29922601941752</v>
      </c>
      <c r="M143" s="17">
        <f>'Datos Actividad'!$Z139*'FE Sectorial'!$H142*'FE Sectorial'!N142/1000/1000</f>
        <v>90.324806504854379</v>
      </c>
      <c r="N143" s="17">
        <f>'Datos Actividad'!$Z139*'FE Sectorial'!$H142*'FE Sectorial'!O142/1000/1000</f>
        <v>819.27262135922342</v>
      </c>
      <c r="O143" s="87">
        <f>IF(D143&lt;400,H143+I143*'Factores generales'!$M$41+J143*'Factores generales'!$N$41,I143*'Factores generales'!$M$41+J143*'Factores generales'!$N$41)</f>
        <v>1283226.4610531651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Actividad'!$Z140*'FE Sectorial'!$H143*'FE Sectorial'!I143*'FE Sectorial'!P143/1000</f>
        <v>477163.68</v>
      </c>
      <c r="I144" s="17">
        <f>'Datos Actividad'!$Z140*'FE Sectorial'!$H143*'FE Sectorial'!J143/1000/1000</f>
        <v>979.4</v>
      </c>
      <c r="J144" s="17">
        <f>'Datos Actividad'!$Z140*'FE Sectorial'!$H143*'FE Sectorial'!K143/1000/1000</f>
        <v>19.588000000000001</v>
      </c>
      <c r="K144" s="17">
        <f>'Datos Actividad'!$Z140*'FE Sectorial'!$H143*'FE Sectorial'!L143/1000/1000</f>
        <v>489.7</v>
      </c>
      <c r="L144" s="17">
        <f>'Datos Actividad'!$Z140*'FE Sectorial'!$H143*'FE Sectorial'!M143/1000/1000</f>
        <v>34279</v>
      </c>
      <c r="M144" s="17">
        <f>'Datos Actividad'!$Z140*'FE Sectorial'!$H143*'FE Sectorial'!N143/1000/1000</f>
        <v>489.7</v>
      </c>
      <c r="N144" s="17">
        <f>'Datos Actividad'!$Z140*'FE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26639.68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5058232.5070588235</v>
      </c>
      <c r="I145" s="134">
        <f t="shared" ref="I145:O145" si="39">SUM(I146:I149)</f>
        <v>206.85529411764705</v>
      </c>
      <c r="J145" s="134">
        <f t="shared" si="39"/>
        <v>41.37105882352941</v>
      </c>
      <c r="K145" s="134">
        <f t="shared" si="39"/>
        <v>82742.117647058825</v>
      </c>
      <c r="L145" s="134">
        <f t="shared" si="39"/>
        <v>68951.76470588235</v>
      </c>
      <c r="M145" s="134">
        <f t="shared" si="39"/>
        <v>13790.352941176472</v>
      </c>
      <c r="N145" s="134">
        <f t="shared" si="39"/>
        <v>2501.5058823529416</v>
      </c>
      <c r="O145" s="134">
        <f t="shared" si="39"/>
        <v>5075401.4964705883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Actividad'!$Z142*'FE Sectorial'!$H145*'FE Sectorial'!I145*'FE Sectorial'!P145/1000</f>
        <v>0</v>
      </c>
      <c r="I146" s="17">
        <f>'Datos Actividad'!$Z142*'FE Sectorial'!$H145*'FE Sectorial'!J145/1000/1000</f>
        <v>0</v>
      </c>
      <c r="J146" s="17">
        <f>'Datos Actividad'!$Z142*'FE Sectorial'!$H145*'FE Sectorial'!K145/1000/1000</f>
        <v>0</v>
      </c>
      <c r="K146" s="17">
        <f>'Datos Actividad'!$Z142*'FE Sectorial'!$H145*'FE Sectorial'!L145/1000/1000</f>
        <v>0</v>
      </c>
      <c r="L146" s="17">
        <f>'Datos Actividad'!$Z142*'FE Sectorial'!$H145*'FE Sectorial'!M145/1000/1000</f>
        <v>0</v>
      </c>
      <c r="M146" s="17">
        <f>'Datos Actividad'!$Z142*'FE Sectorial'!$H145*'FE Sectorial'!N145/1000/1000</f>
        <v>0</v>
      </c>
      <c r="N146" s="17">
        <f>'Datos Actividad'!$Z142*'FE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Actividad'!$Z143*'FE Sectorial'!$H146*'FE Sectorial'!I146*'FE Sectorial'!P146/1000</f>
        <v>0</v>
      </c>
      <c r="I147" s="17">
        <f>'Datos Actividad'!$Z143*'FE Sectorial'!$H146*'FE Sectorial'!J146/1000/1000</f>
        <v>0</v>
      </c>
      <c r="J147" s="17">
        <f>'Datos Actividad'!$Z143*'FE Sectorial'!$H146*'FE Sectorial'!K146/1000/1000</f>
        <v>0</v>
      </c>
      <c r="K147" s="17">
        <f>'Datos Actividad'!$Z143*'FE Sectorial'!$H146*'FE Sectorial'!L146/1000/1000</f>
        <v>0</v>
      </c>
      <c r="L147" s="17">
        <f>'Datos Actividad'!$Z143*'FE Sectorial'!$H146*'FE Sectorial'!M146/1000/1000</f>
        <v>0</v>
      </c>
      <c r="M147" s="17">
        <f>'Datos Actividad'!$Z143*'FE Sectorial'!$H146*'FE Sectorial'!N146/1000/1000</f>
        <v>0</v>
      </c>
      <c r="N147" s="17">
        <f>'Datos Actividad'!$Z143*'FE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Actividad'!$Z144*'FE Sectorial'!$H147*'FE Sectorial'!I147*'FE Sectorial'!P147/1000</f>
        <v>5058232.5070588235</v>
      </c>
      <c r="I148" s="17">
        <f>'Datos Actividad'!$Z144*'FE Sectorial'!$H147*'FE Sectorial'!J147/1000/1000</f>
        <v>206.85529411764705</v>
      </c>
      <c r="J148" s="17">
        <f>'Datos Actividad'!$Z144*'FE Sectorial'!$H147*'FE Sectorial'!K147/1000/1000</f>
        <v>41.37105882352941</v>
      </c>
      <c r="K148" s="17">
        <f>'Datos Actividad'!$Z144*'FE Sectorial'!$H147*'FE Sectorial'!L147/1000/1000</f>
        <v>82742.117647058825</v>
      </c>
      <c r="L148" s="17">
        <f>'Datos Actividad'!$Z144*'FE Sectorial'!$H147*'FE Sectorial'!M147/1000/1000</f>
        <v>68951.76470588235</v>
      </c>
      <c r="M148" s="17">
        <f>'Datos Actividad'!$Z144*'FE Sectorial'!$H147*'FE Sectorial'!N147/1000/1000</f>
        <v>13790.352941176472</v>
      </c>
      <c r="N148" s="17">
        <f>'Datos Actividad'!$Z144*'FE Sectorial'!$H147*'FE Sectorial'!O147/1000/1000</f>
        <v>2501.5058823529416</v>
      </c>
      <c r="O148" s="87">
        <f>IF(D148&lt;400,H148+I148*'Factores generales'!$M$41+J148*'Factores generales'!$N$41,I148*'Factores generales'!$M$41+J148*'Factores generales'!$N$41)</f>
        <v>5075401.4964705883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Actividad'!$Z145*'FE Sectorial'!$H148*'FE Sectorial'!I148*'FE Sectorial'!P148/1000</f>
        <v>0</v>
      </c>
      <c r="I149" s="17">
        <f>'Datos Actividad'!$Z145*'FE Sectorial'!$H148*'FE Sectorial'!J148/1000/1000</f>
        <v>0</v>
      </c>
      <c r="J149" s="17">
        <f>'Datos Actividad'!$Z145*'FE Sectorial'!$H148*'FE Sectorial'!K148/1000/1000</f>
        <v>0</v>
      </c>
      <c r="K149" s="17">
        <f>'Datos Actividad'!$Z145*'FE Sectorial'!$H148*'FE Sectorial'!L148/1000/1000</f>
        <v>0</v>
      </c>
      <c r="L149" s="17">
        <f>'Datos Actividad'!$Z145*'FE Sectorial'!$H148*'FE Sectorial'!M148/1000/1000</f>
        <v>0</v>
      </c>
      <c r="M149" s="17">
        <f>'Datos Actividad'!$Z145*'FE Sectorial'!$H148*'FE Sectorial'!N148/1000/1000</f>
        <v>0</v>
      </c>
      <c r="N149" s="17">
        <f>'Datos Actividad'!$Z145*'FE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Actividad'!$Z147*'FE Sectorial'!$H150*'FE Sectorial'!I150*'FE Sectorial'!P150/1000</f>
        <v>0</v>
      </c>
      <c r="I151" s="134">
        <f>'Datos Actividad'!$Z147*'FE Sectorial'!$H150*'FE Sectorial'!J150/1000/1000</f>
        <v>0</v>
      </c>
      <c r="J151" s="134">
        <f>'Datos Actividad'!$Z147*'FE Sectorial'!$H150*'FE Sectorial'!K150/1000/1000</f>
        <v>0</v>
      </c>
      <c r="K151" s="134">
        <f>'Datos Actividad'!$Z147*'FE Sectorial'!$H150*'FE Sectorial'!L150/1000/1000</f>
        <v>0</v>
      </c>
      <c r="L151" s="134">
        <f>'Datos Actividad'!$Z147*'FE Sectorial'!$H150*'FE Sectorial'!M150/1000/1000</f>
        <v>0</v>
      </c>
      <c r="M151" s="134">
        <f>'Datos Actividad'!$Z147*'FE Sectorial'!$H150*'FE Sectorial'!N150/1000/1000</f>
        <v>0</v>
      </c>
      <c r="N151" s="134">
        <f>'Datos Actividad'!$Z147*'FE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Actividad'!$Z148*'FE Sectorial'!$H151*'FE Sectorial'!I151*'FE Sectorial'!P151/1000</f>
        <v>0</v>
      </c>
      <c r="I152" s="134">
        <f>'Datos Actividad'!$Z148*'FE Sectorial'!$H151*'FE Sectorial'!J151/1000/1000</f>
        <v>0</v>
      </c>
      <c r="J152" s="134">
        <f>'Datos Actividad'!$Z148*'FE Sectorial'!$H151*'FE Sectorial'!K151/1000/1000</f>
        <v>0</v>
      </c>
      <c r="K152" s="134">
        <f>'Datos Actividad'!$Z148*'FE Sectorial'!$H151*'FE Sectorial'!L151/1000/1000</f>
        <v>0</v>
      </c>
      <c r="L152" s="134">
        <f>'Datos Actividad'!$Z148*'FE Sectorial'!$H151*'FE Sectorial'!M151/1000/1000</f>
        <v>0</v>
      </c>
      <c r="M152" s="134">
        <f>'Datos Actividad'!$Z148*'FE Sectorial'!$H151*'FE Sectorial'!N151/1000/1000</f>
        <v>0</v>
      </c>
      <c r="N152" s="134">
        <f>'Datos Actividad'!$Z148*'FE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3050164.2371877292</v>
      </c>
      <c r="I153" s="124">
        <f t="shared" ref="I153:N153" si="41">I154+I168</f>
        <v>203877.84748254312</v>
      </c>
      <c r="J153" s="124">
        <f t="shared" si="41"/>
        <v>23.265152655165412</v>
      </c>
      <c r="K153" s="124">
        <f t="shared" si="41"/>
        <v>1322.6811572811919</v>
      </c>
      <c r="L153" s="124">
        <f t="shared" si="41"/>
        <v>2116.2824000000001</v>
      </c>
      <c r="M153" s="124">
        <f t="shared" si="41"/>
        <v>90020.566705741381</v>
      </c>
      <c r="N153" s="124">
        <f t="shared" si="41"/>
        <v>21162.824000000001</v>
      </c>
      <c r="O153" s="124">
        <f>IF(D153&lt;400,H153+I153*'Factores generales'!$M$41+J153*'Factores generales'!$N$41,I153*'Factores generales'!$M$41+J153*'Factores generales'!$N$41)</f>
        <v>7338811.2316442365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3050164.2371877292</v>
      </c>
      <c r="I168" s="129">
        <f t="shared" ref="I168:O168" si="44">I169+I188+I204</f>
        <v>201166.25610218407</v>
      </c>
      <c r="J168" s="129">
        <f t="shared" si="44"/>
        <v>23.265152655165412</v>
      </c>
      <c r="K168" s="129">
        <f t="shared" si="44"/>
        <v>1322.6811572811919</v>
      </c>
      <c r="L168" s="129">
        <f t="shared" si="44"/>
        <v>2116.2824000000001</v>
      </c>
      <c r="M168" s="129">
        <f t="shared" si="44"/>
        <v>90020.566705741381</v>
      </c>
      <c r="N168" s="129">
        <f t="shared" si="44"/>
        <v>21162.824000000001</v>
      </c>
      <c r="O168" s="129">
        <f t="shared" si="44"/>
        <v>7281867.812656695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32607.983732153913</v>
      </c>
      <c r="I169" s="134">
        <f t="shared" ref="I169:O169" si="45">SUM(I170:I187)</f>
        <v>10047.589371003962</v>
      </c>
      <c r="J169" s="134">
        <f t="shared" si="45"/>
        <v>0.22864256121728516</v>
      </c>
      <c r="K169" s="134">
        <f t="shared" si="45"/>
        <v>1322.6811572811919</v>
      </c>
      <c r="L169" s="134">
        <f t="shared" si="45"/>
        <v>2116.2824000000001</v>
      </c>
      <c r="M169" s="134">
        <f t="shared" si="45"/>
        <v>60671.033065402095</v>
      </c>
      <c r="N169" s="134">
        <f t="shared" si="45"/>
        <v>21162.824000000001</v>
      </c>
      <c r="O169" s="134">
        <f t="shared" si="45"/>
        <v>243678.23971721446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Actividad'!$Z167*'FE Sectorial'!I170*1000</f>
        <v>1449.3357114516261</v>
      </c>
      <c r="I171" s="92">
        <f>'Datos Actividad'!$Z167*'FE Sectorial'!J170*1000</f>
        <v>30.775668343135617</v>
      </c>
      <c r="J171" s="92">
        <f>'Datos Actividad'!$Z167*'FE Sectorial'!K170*1000</f>
        <v>1.0666339578318328E-2</v>
      </c>
      <c r="K171" s="92">
        <f>'Datos Actividad'!$Z167*'FE Sectorial'!L170*1000</f>
        <v>0</v>
      </c>
      <c r="L171" s="92">
        <f>'Datos Actividad'!$Z167*'FE Sectorial'!M170*1000</f>
        <v>0</v>
      </c>
      <c r="M171" s="92">
        <f>'Datos Actividad'!$Z167*'FE Sectorial'!N170*1000</f>
        <v>4.742206032405762</v>
      </c>
      <c r="N171" s="92">
        <f>'Datos Actividad'!$Z167*'FE Sectorial'!O170*1000</f>
        <v>0</v>
      </c>
      <c r="O171" s="87">
        <f>IF(D171&lt;400,H171+I171*'Factores generales'!$M$41+J171*'Factores generales'!$N$41,I171*'Factores generales'!$M$41+J171*'Factores generales'!$N$41)</f>
        <v>2098.9313119267526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Actividad'!$Z168*'FE Sectorial'!I171*1000</f>
        <v>2043.9349776881907</v>
      </c>
      <c r="I172" s="92">
        <f>'Datos Actividad'!$Z168*'FE Sectorial'!J171*1000</f>
        <v>43.401583560832279</v>
      </c>
      <c r="J172" s="92">
        <f>'Datos Actividad'!$Z168*'FE Sectorial'!K171*1000</f>
        <v>1.5042273764295077E-2</v>
      </c>
      <c r="K172" s="92">
        <f>'Datos Actividad'!$Z168*'FE Sectorial'!L171*1000</f>
        <v>0</v>
      </c>
      <c r="L172" s="92">
        <f>'Datos Actividad'!$Z168*'FE Sectorial'!M171*1000</f>
        <v>0</v>
      </c>
      <c r="M172" s="92">
        <f>'Datos Actividad'!$Z168*'FE Sectorial'!N171*1000</f>
        <v>6.6877264559568443</v>
      </c>
      <c r="N172" s="92">
        <f>'Datos Actividad'!$Z168*'FE Sectorial'!O171*1000</f>
        <v>0</v>
      </c>
      <c r="O172" s="87">
        <f>IF(D172&lt;400,H172+I172*'Factores generales'!$M$41+J172*'Factores generales'!$N$41,I172*'Factores generales'!$M$41+J172*'Factores generales'!$N$41)</f>
        <v>2960.0313373325998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Actividad'!$Z169*'FE Sectorial'!I172*1000</f>
        <v>27574.540971720678</v>
      </c>
      <c r="I173" s="92">
        <f>'Datos Actividad'!$Z169*'FE Sectorial'!J172*1000</f>
        <v>585.5268182206828</v>
      </c>
      <c r="J173" s="92">
        <f>'Datos Actividad'!$Z169*'FE Sectorial'!K172*1000</f>
        <v>0.20293394787467176</v>
      </c>
      <c r="K173" s="92">
        <f>'Datos Actividad'!$Z169*'FE Sectorial'!L172*1000</f>
        <v>0</v>
      </c>
      <c r="L173" s="92">
        <f>'Datos Actividad'!$Z169*'FE Sectorial'!M172*1000</f>
        <v>0</v>
      </c>
      <c r="M173" s="92">
        <f>'Datos Actividad'!$Z169*'FE Sectorial'!N172*1000</f>
        <v>90.223509642181426</v>
      </c>
      <c r="N173" s="92">
        <f>'Datos Actividad'!$Z169*'FE Sectorial'!O172*1000</f>
        <v>0</v>
      </c>
      <c r="O173" s="87">
        <f>IF(D173&lt;400,H173+I173*'Factores generales'!$M$41+J173*'Factores generales'!$N$41,I173*'Factores generales'!$M$41+J173*'Factores generales'!$N$41)</f>
        <v>39933.513678196163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Actividad'!$Z171*'FE Sectorial'!I174</f>
        <v>622.45518720490975</v>
      </c>
      <c r="I175" s="92">
        <f>'Datos Actividad'!$Z171*'FE Sectorial'!J174</f>
        <v>8586.155999999999</v>
      </c>
      <c r="J175" s="92">
        <f>'Datos Actividad'!$Z171*'FE Sectorial'!K174</f>
        <v>0</v>
      </c>
      <c r="K175" s="92">
        <f>'Datos Actividad'!$Z171*'FE Sectorial'!L174</f>
        <v>0</v>
      </c>
      <c r="L175" s="92">
        <f>'Datos Actividad'!$Z171*'FE Sectorial'!M174</f>
        <v>0</v>
      </c>
      <c r="M175" s="92">
        <f>'Datos Actividad'!$Z171*'FE Sectorial'!N174</f>
        <v>10515.850525968121</v>
      </c>
      <c r="N175" s="92">
        <f>'Datos Actividad'!$Z171*'FE Sectorial'!O174</f>
        <v>0</v>
      </c>
      <c r="O175" s="87">
        <f>IF(D175&lt;400,H175+I175*'Factores generales'!$M$41+J175*'Factores generales'!$N$41,I175*'Factores generales'!$M$41+J175*'Factores generales'!$N$41)</f>
        <v>180931.73118720489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Actividad'!$Z173*'FE Sectorial'!I176</f>
        <v>0</v>
      </c>
      <c r="I177" s="92">
        <f>'Datos Actividad'!$Z173*'FE Sectorial'!J176</f>
        <v>375.30938269595254</v>
      </c>
      <c r="J177" s="92">
        <f>'Datos Actividad'!$Z173*'FE Sectorial'!K176</f>
        <v>0</v>
      </c>
      <c r="K177" s="92">
        <f>'Datos Actividad'!$Z173*'FE Sectorial'!L176</f>
        <v>0</v>
      </c>
      <c r="L177" s="92">
        <f>'Datos Actividad'!$Z173*'FE Sectorial'!M176</f>
        <v>0</v>
      </c>
      <c r="M177" s="92">
        <f>'Datos Actividad'!$Z173*'FE Sectorial'!N176</f>
        <v>0</v>
      </c>
      <c r="N177" s="92">
        <f>'Datos Actividad'!$Z173*'FE Sectorial'!O176</f>
        <v>0</v>
      </c>
      <c r="O177" s="87">
        <f>IF(D177&lt;400,H177+I177*'Factores generales'!$M$41+J177*'Factores generales'!$N$41,I177*'Factores generales'!$M$41+J177*'Factores generales'!$N$41)</f>
        <v>7881.4970366150028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Actividad'!$Z174*'FE Sectorial'!I177</f>
        <v>7.4301056899999995</v>
      </c>
      <c r="I178" s="92">
        <f>'Datos Actividad'!$Z174*'FE Sectorial'!J177</f>
        <v>81.882797400000001</v>
      </c>
      <c r="J178" s="92">
        <f>'Datos Actividad'!$Z174*'FE Sectorial'!K177</f>
        <v>0</v>
      </c>
      <c r="K178" s="92">
        <f>'Datos Actividad'!$Z174*'FE Sectorial'!L177</f>
        <v>0</v>
      </c>
      <c r="L178" s="92">
        <f>'Datos Actividad'!$Z174*'FE Sectorial'!M177</f>
        <v>0</v>
      </c>
      <c r="M178" s="92">
        <f>'Datos Actividad'!$Z174*'FE Sectorial'!N177</f>
        <v>818.82797400000004</v>
      </c>
      <c r="N178" s="92">
        <f>'Datos Actividad'!$Z174*'FE Sectorial'!O177</f>
        <v>0</v>
      </c>
      <c r="O178" s="87">
        <f>IF(D178&lt;400,H178+I178*'Factores generales'!$M$41+J178*'Factores generales'!$N$41,I178*'Factores generales'!$M$41+J178*'Factores generales'!$N$41)</f>
        <v>1726.9688510899998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Actividad'!$Z177*'FE Sectorial'!I180</f>
        <v>0</v>
      </c>
      <c r="I181" s="92">
        <f>'Datos Actividad'!$Z177*'FE Sectorial'!J180</f>
        <v>273.12549129023444</v>
      </c>
      <c r="J181" s="92">
        <f>'Datos Actividad'!$Z177*'FE Sectorial'!K180</f>
        <v>0</v>
      </c>
      <c r="K181" s="92">
        <f>'Datos Actividad'!$Z177*'FE Sectorial'!L180</f>
        <v>1322.6765</v>
      </c>
      <c r="L181" s="92">
        <f>'Datos Actividad'!$Z177*'FE Sectorial'!M180</f>
        <v>2116.2824000000001</v>
      </c>
      <c r="M181" s="92">
        <f>'Datos Actividad'!$Z177*'FE Sectorial'!N180</f>
        <v>34389.589</v>
      </c>
      <c r="N181" s="92">
        <f>'Datos Actividad'!$Z177*'FE Sectorial'!O180</f>
        <v>21162.824000000001</v>
      </c>
      <c r="O181" s="87">
        <f>IF(D181&lt;400,H181+I181*'Factores generales'!$M$41+J181*'Factores generales'!$N$41,I181*'Factores generales'!$M$41+J181*'Factores generales'!$N$41)</f>
        <v>5735.6353170949233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Actividad'!$Z179*'FE Sectorial'!I182</f>
        <v>0</v>
      </c>
      <c r="I183" s="92">
        <f>'Datos Actividad'!$Z179*'FE Sectorial'!J182</f>
        <v>71.411629493125375</v>
      </c>
      <c r="J183" s="92">
        <f>'Datos Actividad'!$Z179*'FE Sectorial'!K182</f>
        <v>0</v>
      </c>
      <c r="K183" s="92">
        <f>'Datos Actividad'!$Z179*'FE Sectorial'!L182</f>
        <v>0</v>
      </c>
      <c r="L183" s="92">
        <f>'Datos Actividad'!$Z179*'FE Sectorial'!M182</f>
        <v>0</v>
      </c>
      <c r="M183" s="92">
        <f>'Datos Actividad'!$Z179*'FE Sectorial'!N182</f>
        <v>0</v>
      </c>
      <c r="N183" s="92">
        <f>'Datos Actividad'!$Z179*'FE Sectorial'!O182</f>
        <v>0</v>
      </c>
      <c r="O183" s="87">
        <f>IF(D183&lt;400,H183+I183*'Factores generales'!$M$41+J183*'Factores generales'!$N$41,I183*'Factores generales'!$M$41+J183*'Factores generales'!$N$41)</f>
        <v>1499.6442193556329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Actividad'!$Z181*'FE Sectorial'!I184</f>
        <v>0</v>
      </c>
      <c r="I185" s="92">
        <f>'Datos Actividad'!$Z181*'FE Sectorial'!J184</f>
        <v>0</v>
      </c>
      <c r="J185" s="92">
        <f>'Datos Actividad'!$Z181*'FE Sectorial'!K184</f>
        <v>0</v>
      </c>
      <c r="K185" s="92">
        <f>'Datos Actividad'!$Z181*'FE Sectorial'!L184</f>
        <v>0</v>
      </c>
      <c r="L185" s="92">
        <f>'Datos Actividad'!$Z181*'FE Sectorial'!M184</f>
        <v>0</v>
      </c>
      <c r="M185" s="92">
        <f>'Datos Actividad'!$Z181*'FE Sectorial'!N184</f>
        <v>14845.112123303432</v>
      </c>
      <c r="N185" s="92">
        <f>'Datos Actividad'!$Z181*'FE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Actividad'!$Z182*'FE Sectorial'!I185</f>
        <v>910.28677839851002</v>
      </c>
      <c r="I186" s="92">
        <f>'Datos Actividad'!$Z182*'FE Sectorial'!J185</f>
        <v>0</v>
      </c>
      <c r="J186" s="92">
        <f>'Datos Actividad'!$Z182*'FE Sectorial'!K185</f>
        <v>0</v>
      </c>
      <c r="K186" s="92">
        <f>'Datos Actividad'!$Z182*'FE Sectorial'!L185</f>
        <v>4.6572811918063313E-3</v>
      </c>
      <c r="L186" s="92">
        <f>'Datos Actividad'!$Z182*'FE Sectorial'!M185</f>
        <v>0</v>
      </c>
      <c r="M186" s="92">
        <f>'Datos Actividad'!$Z182*'FE Sectorial'!N185</f>
        <v>0</v>
      </c>
      <c r="N186" s="92">
        <f>'Datos Actividad'!$Z182*'FE Sectorial'!O185</f>
        <v>0</v>
      </c>
      <c r="O186" s="87">
        <f>IF(D186&lt;400,H186+I186*'Factores generales'!$M$41+J186*'Factores generales'!$N$41,I186*'Factores generales'!$M$41+J186*'Factores generales'!$N$41)</f>
        <v>910.28677839851002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3215.2390935850881</v>
      </c>
      <c r="I188" s="134">
        <f t="shared" ref="I188:O188" si="46">SUM(I189:I203)</f>
        <v>162288.7081281092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14015.432558439265</v>
      </c>
      <c r="N188" s="134">
        <f t="shared" si="46"/>
        <v>0</v>
      </c>
      <c r="O188" s="134">
        <f t="shared" si="46"/>
        <v>3411278.1097838785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Actividad'!$Z187*'FE Sectorial'!I190</f>
        <v>1237.0645652662197</v>
      </c>
      <c r="I191" s="92">
        <f>'Datos Actividad'!$Z187*'FE Sectorial'!J190</f>
        <v>74419.974320913811</v>
      </c>
      <c r="J191" s="92">
        <f>'Datos Actividad'!$Z187*'FE Sectorial'!K190</f>
        <v>0</v>
      </c>
      <c r="K191" s="92">
        <f>'Datos Actividad'!$Z187*'FE Sectorial'!L190</f>
        <v>0</v>
      </c>
      <c r="L191" s="92">
        <f>'Datos Actividad'!$Z187*'FE Sectorial'!M190</f>
        <v>0</v>
      </c>
      <c r="M191" s="92">
        <f>'Datos Actividad'!$Z187*'FE Sectorial'!N190</f>
        <v>8143.3559016507261</v>
      </c>
      <c r="N191" s="92">
        <f>'Datos Actividad'!$Z187*'FE Sectorial'!O190</f>
        <v>0</v>
      </c>
      <c r="O191" s="87">
        <f>IF(D191&lt;400,H191+I191*'Factores generales'!$M$41+J191*'Factores generales'!$N$41,I191*'Factores generales'!$M$41+J191*'Factores generales'!$N$41)</f>
        <v>1564056.5253044562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Actividad'!$Z189*'FE Sectorial'!I192</f>
        <v>451.7121116577535</v>
      </c>
      <c r="I193" s="92">
        <f>'Datos Actividad'!$Z189*'FE Sectorial'!J192</f>
        <v>5646.4013957219204</v>
      </c>
      <c r="J193" s="92">
        <f>'Datos Actividad'!$Z189*'FE Sectorial'!K192</f>
        <v>0</v>
      </c>
      <c r="K193" s="92">
        <f>'Datos Actividad'!$Z189*'FE Sectorial'!L192</f>
        <v>0</v>
      </c>
      <c r="L193" s="92">
        <f>'Datos Actividad'!$Z189*'FE Sectorial'!M192</f>
        <v>0</v>
      </c>
      <c r="M193" s="92">
        <f>'Datos Actividad'!$Z189*'FE Sectorial'!N192</f>
        <v>5215.9221852363662</v>
      </c>
      <c r="N193" s="92">
        <f>'Datos Actividad'!$Z189*'FE Sectorial'!O192</f>
        <v>0</v>
      </c>
      <c r="O193" s="87">
        <f>IF(D193&lt;400,H193+I193*'Factores generales'!$M$41+J193*'Factores generales'!$N$41,I193*'Factores generales'!$M$41+J193*'Factores generales'!$N$41)</f>
        <v>119026.14142181807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Actividad'!$Z192*'FE Sectorial'!I195</f>
        <v>31.102942845448414</v>
      </c>
      <c r="I196" s="92">
        <f>'Datos Actividad'!$Z192*'FE Sectorial'!J195</f>
        <v>9677.4460441385072</v>
      </c>
      <c r="J196" s="92">
        <f>'Datos Actividad'!$Z192*'FE Sectorial'!K195</f>
        <v>0</v>
      </c>
      <c r="K196" s="92">
        <f>'Datos Actividad'!$Z192*'FE Sectorial'!L195</f>
        <v>0</v>
      </c>
      <c r="L196" s="92">
        <f>'Datos Actividad'!$Z192*'FE Sectorial'!M195</f>
        <v>0</v>
      </c>
      <c r="M196" s="92">
        <f>'Datos Actividad'!$Z192*'FE Sectorial'!N195</f>
        <v>231.42955239979199</v>
      </c>
      <c r="N196" s="92">
        <f>'Datos Actividad'!$Z192*'FE Sectorial'!O195</f>
        <v>0</v>
      </c>
      <c r="O196" s="87">
        <f>IF(D196&lt;400,H196+I196*'Factores generales'!$M$41+J196*'Factores generales'!$N$41,I196*'Factores generales'!$M$41+J196*'Factores generales'!$N$41)</f>
        <v>203257.46986975407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Actividad'!$Z194*'FE Sectorial'!I197</f>
        <v>1495.3594738156664</v>
      </c>
      <c r="I198" s="92">
        <f>'Datos Actividad'!$Z194*'FE Sectorial'!J197</f>
        <v>29346.941582134976</v>
      </c>
      <c r="J198" s="92">
        <f>'Datos Actividad'!$Z194*'FE Sectorial'!K197</f>
        <v>0</v>
      </c>
      <c r="K198" s="92">
        <f>'Datos Actividad'!$Z194*'FE Sectorial'!L197</f>
        <v>0</v>
      </c>
      <c r="L198" s="92">
        <f>'Datos Actividad'!$Z194*'FE Sectorial'!M197</f>
        <v>0</v>
      </c>
      <c r="M198" s="92">
        <f>'Datos Actividad'!$Z194*'FE Sectorial'!N197</f>
        <v>424.72491915238072</v>
      </c>
      <c r="N198" s="92">
        <f>'Datos Actividad'!$Z194*'FE Sectorial'!O197</f>
        <v>0</v>
      </c>
      <c r="O198" s="87">
        <f>IF(D198&lt;400,H198+I198*'Factores generales'!$M$41+J198*'Factores generales'!$N$41,I198*'Factores generales'!$M$41+J198*'Factores generales'!$N$41)</f>
        <v>617781.13269865012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Actividad'!$Z197*'FE Sectorial'!I200</f>
        <v>0</v>
      </c>
      <c r="I201" s="92">
        <f>'Datos Actividad'!$Z197*'FE Sectorial'!J200</f>
        <v>34154.2822572</v>
      </c>
      <c r="J201" s="92">
        <f>'Datos Actividad'!$Z197*'FE Sectorial'!K200</f>
        <v>0</v>
      </c>
      <c r="K201" s="92">
        <f>'Datos Actividad'!$Z197*'FE Sectorial'!L200</f>
        <v>0</v>
      </c>
      <c r="L201" s="92">
        <f>'Datos Actividad'!$Z197*'FE Sectorial'!M200</f>
        <v>0</v>
      </c>
      <c r="M201" s="92">
        <f>'Datos Actividad'!$Z197*'FE Sectorial'!N200</f>
        <v>0</v>
      </c>
      <c r="N201" s="92">
        <f>'Datos Actividad'!$Z197*'FE Sectorial'!O200</f>
        <v>0</v>
      </c>
      <c r="O201" s="87">
        <f>IF(D201&lt;400,H201+I201*'Factores generales'!$M$41+J201*'Factores generales'!$N$41,I201*'Factores generales'!$M$41+J201*'Factores generales'!$N$41)</f>
        <v>717239.92740120005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Actividad'!$Z199*'FE Sectorial'!I202</f>
        <v>0</v>
      </c>
      <c r="I203" s="92">
        <f>'Datos Actividad'!$Z199*'FE Sectorial'!J202</f>
        <v>9043.6625279999989</v>
      </c>
      <c r="J203" s="92">
        <f>'Datos Actividad'!$Z199*'FE Sectorial'!K202</f>
        <v>0</v>
      </c>
      <c r="K203" s="92">
        <f>'Datos Actividad'!$Z199*'FE Sectorial'!L202</f>
        <v>0</v>
      </c>
      <c r="L203" s="92">
        <f>'Datos Actividad'!$Z199*'FE Sectorial'!M202</f>
        <v>0</v>
      </c>
      <c r="M203" s="92">
        <f>'Datos Actividad'!$Z199*'FE Sectorial'!N202</f>
        <v>0</v>
      </c>
      <c r="N203" s="92">
        <f>'Datos Actividad'!$Z199*'FE Sectorial'!O202</f>
        <v>0</v>
      </c>
      <c r="O203" s="87">
        <f>IF(D203&lt;400,H203+I203*'Factores generales'!$M$41+J203*'Factores generales'!$N$41,I203*'Factores generales'!$M$41+J203*'Factores generales'!$N$41)</f>
        <v>189916.91308799997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3014341.0143619902</v>
      </c>
      <c r="I204" s="134">
        <f t="shared" ref="I204:O204" si="47">SUM(I205:I221)</f>
        <v>28829.958603070896</v>
      </c>
      <c r="J204" s="134">
        <f t="shared" si="47"/>
        <v>23.036510093948127</v>
      </c>
      <c r="K204" s="134">
        <f t="shared" si="47"/>
        <v>0</v>
      </c>
      <c r="L204" s="134">
        <f t="shared" si="47"/>
        <v>0</v>
      </c>
      <c r="M204" s="134">
        <f t="shared" si="47"/>
        <v>15334.101081900022</v>
      </c>
      <c r="N204" s="134">
        <f t="shared" si="47"/>
        <v>0</v>
      </c>
      <c r="O204" s="134">
        <f t="shared" si="47"/>
        <v>3626911.4631556026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Actividad'!$Z203*'FE Sectorial'!I206</f>
        <v>3180.6142392027741</v>
      </c>
      <c r="I207" s="92">
        <f>'Datos Actividad'!$Z203*'FE Sectorial'!J206</f>
        <v>24163.584851221498</v>
      </c>
      <c r="J207" s="92">
        <f>'Datos Actividad'!$Z203*'FE Sectorial'!K206</f>
        <v>0</v>
      </c>
      <c r="K207" s="92">
        <f>'Datos Actividad'!$Z203*'FE Sectorial'!L206</f>
        <v>0</v>
      </c>
      <c r="L207" s="92">
        <f>'Datos Actividad'!$Z203*'FE Sectorial'!M206</f>
        <v>0</v>
      </c>
      <c r="M207" s="92">
        <f>'Datos Actividad'!$Z203*'FE Sectorial'!N206</f>
        <v>14415.766981966672</v>
      </c>
      <c r="N207" s="92">
        <f>'Datos Actividad'!$Z203*'FE Sectorial'!O206</f>
        <v>0</v>
      </c>
      <c r="O207" s="87">
        <f>IF(D207&lt;400,H207+I207*'Factores generales'!$M$41+J207*'Factores generales'!$N$41,I207*'Factores generales'!$M$41+J207*'Factores generales'!$N$41)</f>
        <v>510615.8961148542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Actividad'!$Z205*'FE Sectorial'!I208</f>
        <v>1371397.8427143735</v>
      </c>
      <c r="I209" s="92">
        <f>'Datos Actividad'!$Z205*'FE Sectorial'!J208</f>
        <v>834.42437662728912</v>
      </c>
      <c r="J209" s="92">
        <f>'Datos Actividad'!$Z205*'FE Sectorial'!K208</f>
        <v>21.478742089974666</v>
      </c>
      <c r="K209" s="92">
        <f>'Datos Actividad'!$Z205*'FE Sectorial'!L208</f>
        <v>0</v>
      </c>
      <c r="L209" s="92">
        <f>'Datos Actividad'!$Z205*'FE Sectorial'!M208</f>
        <v>0</v>
      </c>
      <c r="M209" s="92">
        <f>'Datos Actividad'!$Z205*'FE Sectorial'!N208</f>
        <v>706.29505628163201</v>
      </c>
      <c r="N209" s="92">
        <f>'Datos Actividad'!$Z205*'FE Sectorial'!O208</f>
        <v>0</v>
      </c>
      <c r="O209" s="87">
        <f>IF(D209&lt;400,H209+I209*'Factores generales'!$M$41+J209*'Factores generales'!$N$41,I209*'Factores generales'!$M$41+J209*'Factores generales'!$N$41)</f>
        <v>1395579.1646714387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Actividad'!$Z209*'FE Sectorial'!I212</f>
        <v>1519091.3646438823</v>
      </c>
      <c r="I213" s="92">
        <f>'Datos Actividad'!$Z209*'FE Sectorial'!J212</f>
        <v>0</v>
      </c>
      <c r="J213" s="92">
        <f>'Datos Actividad'!$Z209*'FE Sectorial'!K212</f>
        <v>0</v>
      </c>
      <c r="K213" s="92">
        <f>'Datos Actividad'!$Z209*'FE Sectorial'!L212</f>
        <v>0</v>
      </c>
      <c r="L213" s="92">
        <f>'Datos Actividad'!$Z209*'FE Sectorial'!M212</f>
        <v>0</v>
      </c>
      <c r="M213" s="92">
        <f>'Datos Actividad'!$Z209*'FE Sectorial'!N212</f>
        <v>0</v>
      </c>
      <c r="N213" s="92">
        <f>'Datos Actividad'!$Z209*'FE Sectorial'!O212</f>
        <v>0</v>
      </c>
      <c r="O213" s="87">
        <f>IF(D213&lt;400,H213+I213*'Factores generales'!$M$41+J213*'Factores generales'!$N$41,I213*'Factores generales'!$M$41+J213*'Factores generales'!$N$41)</f>
        <v>1519091.3646438823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Actividad'!$Z211*'FE Sectorial'!I214</f>
        <v>98.919136503914146</v>
      </c>
      <c r="I215" s="92">
        <f>'Datos Actividad'!$Z211*'FE Sectorial'!J214</f>
        <v>3752.1503962607903</v>
      </c>
      <c r="J215" s="92">
        <f>'Datos Actividad'!$Z211*'FE Sectorial'!K214</f>
        <v>0</v>
      </c>
      <c r="K215" s="92">
        <f>'Datos Actividad'!$Z211*'FE Sectorial'!L214</f>
        <v>0</v>
      </c>
      <c r="L215" s="92">
        <f>'Datos Actividad'!$Z211*'FE Sectorial'!M214</f>
        <v>0</v>
      </c>
      <c r="M215" s="92">
        <f>'Datos Actividad'!$Z211*'FE Sectorial'!N214</f>
        <v>147.91536790205407</v>
      </c>
      <c r="N215" s="92">
        <f>'Datos Actividad'!$Z211*'FE Sectorial'!O214</f>
        <v>0</v>
      </c>
      <c r="O215" s="87">
        <f>IF(D215&lt;400,H215+I215*'Factores generales'!$M$41+J215*'Factores generales'!$N$41,I215*'Factores generales'!$M$41+J215*'Factores generales'!$N$41)</f>
        <v>78894.077457980515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Actividad'!$Z214*'FE Sectorial'!I217</f>
        <v>34146.226046921605</v>
      </c>
      <c r="I218" s="92">
        <f>'Datos Actividad'!$Z214*'FE Sectorial'!J217</f>
        <v>21.483196103632313</v>
      </c>
      <c r="J218" s="92">
        <f>'Datos Actividad'!$Z214*'FE Sectorial'!K217</f>
        <v>0.60813604166393664</v>
      </c>
      <c r="K218" s="92">
        <f>'Datos Actividad'!$Z214*'FE Sectorial'!L217</f>
        <v>0</v>
      </c>
      <c r="L218" s="92">
        <f>'Datos Actividad'!$Z214*'FE Sectorial'!M217</f>
        <v>0</v>
      </c>
      <c r="M218" s="92">
        <f>'Datos Actividad'!$Z214*'FE Sectorial'!N217</f>
        <v>17.889467119902442</v>
      </c>
      <c r="N218" s="92">
        <f>'Datos Actividad'!$Z214*'FE Sectorial'!O217</f>
        <v>0</v>
      </c>
      <c r="O218" s="87">
        <f>IF(D218&lt;400,H218+I218*'Factores generales'!$M$41+J218*'Factores generales'!$N$41,I218*'Factores generales'!$M$41+J218*'Factores generales'!$N$41)</f>
        <v>34785.895338013703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Actividad'!$Z216*'FE Sectorial'!I219</f>
        <v>86426.047581105944</v>
      </c>
      <c r="I220" s="92">
        <f>'Datos Actividad'!$Z216*'FE Sectorial'!J219</f>
        <v>58.315782857688816</v>
      </c>
      <c r="J220" s="92">
        <f>'Datos Actividad'!$Z216*'FE Sectorial'!K219</f>
        <v>0.94963196230952451</v>
      </c>
      <c r="K220" s="92">
        <f>'Datos Actividad'!$Z216*'FE Sectorial'!L219</f>
        <v>0</v>
      </c>
      <c r="L220" s="92">
        <f>'Datos Actividad'!$Z216*'FE Sectorial'!M219</f>
        <v>0</v>
      </c>
      <c r="M220" s="92">
        <f>'Datos Actividad'!$Z216*'FE Sectorial'!N219</f>
        <v>46.23420862976198</v>
      </c>
      <c r="N220" s="92">
        <f>'Datos Actividad'!$Z216*'FE Sectorial'!O219</f>
        <v>0</v>
      </c>
      <c r="O220" s="87">
        <f>IF(D220&lt;400,H220+I220*'Factores generales'!$M$41+J220*'Factores generales'!$N$41,I220*'Factores generales'!$M$41+J220*'Factores generales'!$N$41)</f>
        <v>87945.064929433356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7671022.7041674489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2581625.6625089594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1271294.1626839195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1310331.4998250399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 t="s">
        <v>267</v>
      </c>
      <c r="C1" s="144"/>
      <c r="D1" s="145"/>
      <c r="E1" s="144"/>
      <c r="F1" s="144"/>
      <c r="G1" s="144"/>
      <c r="H1" s="146">
        <f>+H5/94101550-1</f>
        <v>7.5142757309265562E-4</v>
      </c>
      <c r="I1" s="146">
        <f>+I5/424600-1</f>
        <v>-0.51282925439096405</v>
      </c>
      <c r="J1" s="146">
        <f>+J5/1910-1</f>
        <v>0.58019644801423698</v>
      </c>
      <c r="K1" s="146">
        <f>+K5/494400-1</f>
        <v>1.8031044596528378E-2</v>
      </c>
      <c r="L1" s="146">
        <f>+L5/2950530-1</f>
        <v>-0.2736353582519353</v>
      </c>
      <c r="M1" s="146">
        <f>+M5/364060-1</f>
        <v>0.20543953025535999</v>
      </c>
      <c r="N1" s="146">
        <f>+N5/72810-1</f>
        <v>-0.11611279869974545</v>
      </c>
      <c r="O1" s="146">
        <f>+O5/103609960-1</f>
        <v>-3.9580695110553954E-2</v>
      </c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94172260.499340758</v>
      </c>
      <c r="I5" s="138">
        <f t="shared" si="0"/>
        <v>206852.69858559669</v>
      </c>
      <c r="J5" s="138">
        <f t="shared" si="0"/>
        <v>3018.1752157071928</v>
      </c>
      <c r="K5" s="138">
        <f t="shared" si="0"/>
        <v>503314.54844852362</v>
      </c>
      <c r="L5" s="138">
        <f t="shared" si="0"/>
        <v>2143160.6664169175</v>
      </c>
      <c r="M5" s="138">
        <f t="shared" si="0"/>
        <v>438852.31538476632</v>
      </c>
      <c r="N5" s="138">
        <f t="shared" si="0"/>
        <v>64355.827126671531</v>
      </c>
      <c r="O5" s="138">
        <f t="shared" si="0"/>
        <v>99509005.762823313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91264686.117255747</v>
      </c>
      <c r="I6" s="124">
        <f t="shared" si="1"/>
        <v>10724.571846677194</v>
      </c>
      <c r="J6" s="124">
        <f t="shared" si="1"/>
        <v>2995.5104432029148</v>
      </c>
      <c r="K6" s="124">
        <f t="shared" si="1"/>
        <v>501990.64677464543</v>
      </c>
      <c r="L6" s="124">
        <f t="shared" si="1"/>
        <v>2141042.4313769173</v>
      </c>
      <c r="M6" s="124">
        <f t="shared" si="1"/>
        <v>350208.55794110207</v>
      </c>
      <c r="N6" s="124">
        <f t="shared" si="1"/>
        <v>43173.476726671528</v>
      </c>
      <c r="O6" s="124">
        <f t="shared" si="1"/>
        <v>92475714.639744669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24471507.832248624</v>
      </c>
      <c r="I7" s="129">
        <f t="shared" si="2"/>
        <v>612.311668587138</v>
      </c>
      <c r="J7" s="129">
        <f t="shared" si="2"/>
        <v>106.47265669694505</v>
      </c>
      <c r="K7" s="129">
        <f t="shared" si="2"/>
        <v>65763.547611590446</v>
      </c>
      <c r="L7" s="129">
        <f t="shared" si="2"/>
        <v>7313.0135615495528</v>
      </c>
      <c r="M7" s="129">
        <f t="shared" si="2"/>
        <v>1965.2872740038661</v>
      </c>
      <c r="N7" s="129">
        <f t="shared" si="2"/>
        <v>23318.37815194442</v>
      </c>
      <c r="O7" s="129">
        <f t="shared" si="2"/>
        <v>24517372.900865007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15206292.165184297</v>
      </c>
      <c r="I8" s="134">
        <f t="shared" si="3"/>
        <v>367.76249872800003</v>
      </c>
      <c r="J8" s="134">
        <f t="shared" si="3"/>
        <v>60.2139701328</v>
      </c>
      <c r="K8" s="134">
        <f t="shared" si="3"/>
        <v>40878.724539199997</v>
      </c>
      <c r="L8" s="134">
        <f t="shared" si="3"/>
        <v>4676.261167560001</v>
      </c>
      <c r="M8" s="134">
        <f t="shared" si="3"/>
        <v>1243.4816476400001</v>
      </c>
      <c r="N8" s="134">
        <f t="shared" si="3"/>
        <v>12560.442680000002</v>
      </c>
      <c r="O8" s="134">
        <f t="shared" si="3"/>
        <v>15232681.508398753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15206292.165184297</v>
      </c>
      <c r="I9" s="93">
        <f t="shared" ref="I9:O9" si="4">I10+I11+I12+I13+I14</f>
        <v>367.76249872800003</v>
      </c>
      <c r="J9" s="93">
        <f t="shared" si="4"/>
        <v>60.2139701328</v>
      </c>
      <c r="K9" s="93">
        <f t="shared" si="4"/>
        <v>40878.724539199997</v>
      </c>
      <c r="L9" s="93">
        <f t="shared" si="4"/>
        <v>4676.261167560001</v>
      </c>
      <c r="M9" s="93">
        <f t="shared" si="4"/>
        <v>1243.4816476400001</v>
      </c>
      <c r="N9" s="93">
        <f t="shared" si="4"/>
        <v>12560.442680000002</v>
      </c>
      <c r="O9" s="93">
        <f t="shared" si="4"/>
        <v>15232681.508398753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Actividad'!$AA6*'FE Sectorial'!$H9*'FE Sectorial'!I9*'FE Sectorial'!$P9/1000</f>
        <v>369361.57695359999</v>
      </c>
      <c r="I10" s="92">
        <f>'Datos Actividad'!$AA6*'FE Sectorial'!$H9*'FE Sectorial'!J9/1000/1000</f>
        <v>3.9841392</v>
      </c>
      <c r="J10" s="92">
        <f>'Datos Actividad'!$AA6*'FE Sectorial'!$H9*'FE Sectorial'!K9/1000/1000</f>
        <v>5.9762088000000002</v>
      </c>
      <c r="K10" s="92">
        <f>'Datos Actividad'!$AA6*'FE Sectorial'!$H9*'FE Sectorial'!L9/1000/1000</f>
        <v>1195.2417600000001</v>
      </c>
      <c r="L10" s="92">
        <f>'Datos Actividad'!$AA6*'FE Sectorial'!$H9*'FE Sectorial'!M9/1000/1000</f>
        <v>79.682783999999998</v>
      </c>
      <c r="M10" s="92">
        <f>'Datos Actividad'!$AA6*'FE Sectorial'!$H9*'FE Sectorial'!N9/1000/1000</f>
        <v>19.920696</v>
      </c>
      <c r="N10" s="92">
        <f>'Datos Actividad'!$AA6*'FE Sectorial'!$H9*'FE Sectorial'!O9/1000/1000</f>
        <v>3814.2728000000002</v>
      </c>
      <c r="O10" s="92">
        <f>IF(D10&lt;400,H10+I10*'Factores generales'!$M$41+J10*'Factores generales'!$N$41,I10*'Factores generales'!$M$41+J10*'Factores generales'!$N$41)</f>
        <v>371297.86860480002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Actividad'!$AA7*'FE Sectorial'!$H10*'FE Sectorial'!I10*'FE Sectorial'!$P10/1000</f>
        <v>1379981.0177009997</v>
      </c>
      <c r="I11" s="17">
        <f>'Datos Actividad'!$AA7*'FE Sectorial'!$H10*'FE Sectorial'!J10/1000/1000</f>
        <v>56.434016999999997</v>
      </c>
      <c r="J11" s="17">
        <f>'Datos Actividad'!$AA7*'FE Sectorial'!$H10*'FE Sectorial'!K10/1000/1000</f>
        <v>11.2868034</v>
      </c>
      <c r="K11" s="17">
        <f>'Datos Actividad'!$AA7*'FE Sectorial'!$H10*'FE Sectorial'!L10/1000/1000</f>
        <v>3762.2677999999996</v>
      </c>
      <c r="L11" s="17">
        <f>'Datos Actividad'!$AA7*'FE Sectorial'!$H10*'FE Sectorial'!M10/1000/1000</f>
        <v>282.17008500000003</v>
      </c>
      <c r="M11" s="17">
        <f>'Datos Actividad'!$AA7*'FE Sectorial'!$H10*'FE Sectorial'!N10/1000/1000</f>
        <v>94.056695000000005</v>
      </c>
      <c r="N11" s="17">
        <f>'Datos Actividad'!$AA7*'FE Sectorial'!$H10*'FE Sectorial'!O10/1000/1000</f>
        <v>682.45788000000005</v>
      </c>
      <c r="O11" s="17">
        <f>IF(D11&lt;400,H11+I11*'Factores generales'!$M$41+J11*'Factores generales'!$N$41,I11*'Factores generales'!$M$41+J11*'Factores generales'!$N$41)</f>
        <v>1384665.0411119997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Actividad'!$AA8*'FE Sectorial'!$H11*'FE Sectorial'!I11*'FE Sectorial'!$P11/1000</f>
        <v>3120344.4783456004</v>
      </c>
      <c r="I12" s="92">
        <f>'Datos Actividad'!$AA8*'FE Sectorial'!$H11*'FE Sectorial'!J11/1000/1000</f>
        <v>122.16523680000002</v>
      </c>
      <c r="J12" s="92">
        <f>'Datos Actividad'!$AA8*'FE Sectorial'!$H11*'FE Sectorial'!K11/1000/1000</f>
        <v>24.43304736</v>
      </c>
      <c r="K12" s="92">
        <f>'Datos Actividad'!$AA8*'FE Sectorial'!$H11*'FE Sectorial'!L11/1000/1000</f>
        <v>8144.3491199999999</v>
      </c>
      <c r="L12" s="92">
        <f>'Datos Actividad'!$AA8*'FE Sectorial'!$H11*'FE Sectorial'!M11/1000/1000</f>
        <v>610.82618400000001</v>
      </c>
      <c r="M12" s="92">
        <f>'Datos Actividad'!$AA8*'FE Sectorial'!$H11*'FE Sectorial'!N11/1000/1000</f>
        <v>203.60872800000001</v>
      </c>
      <c r="N12" s="92">
        <f>'Datos Actividad'!$AA8*'FE Sectorial'!$H11*'FE Sectorial'!O11/1000/1000</f>
        <v>8063.7120000000014</v>
      </c>
      <c r="O12" s="92">
        <f>IF(D12&lt;400,H12+I12*'Factores generales'!$M$41+J12*'Factores generales'!$N$41,I12*'Factores generales'!$M$41+J12*'Factores generales'!$N$41)</f>
        <v>3130484.1930000004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Actividad'!$AA9*'FE Sectorial'!$H12*'FE Sectorial'!I12*'FE Sectorial'!$P12/1000</f>
        <v>10336605.092184097</v>
      </c>
      <c r="I13" s="17">
        <f>'Datos Actividad'!$AA9*'FE Sectorial'!$H12*'FE Sectorial'!J12/1000/1000</f>
        <v>185.17910572800002</v>
      </c>
      <c r="J13" s="17">
        <f>'Datos Actividad'!$AA9*'FE Sectorial'!$H12*'FE Sectorial'!K12/1000/1000</f>
        <v>18.517910572800002</v>
      </c>
      <c r="K13" s="17">
        <f>'Datos Actividad'!$AA9*'FE Sectorial'!$H12*'FE Sectorial'!L12/1000/1000</f>
        <v>27776.865859199999</v>
      </c>
      <c r="L13" s="17">
        <f>'Datos Actividad'!$AA9*'FE Sectorial'!$H12*'FE Sectorial'!M12/1000/1000</f>
        <v>3703.5821145600007</v>
      </c>
      <c r="M13" s="17">
        <f>'Datos Actividad'!$AA9*'FE Sectorial'!$H12*'FE Sectorial'!N12/1000/1000</f>
        <v>925.89552864000018</v>
      </c>
      <c r="N13" s="17">
        <f>'Datos Actividad'!$AA9*'FE Sectorial'!$H12*'FE Sectorial'!O12/1000/1000</f>
        <v>0</v>
      </c>
      <c r="O13" s="17">
        <f>IF(D13&lt;400,H13+I13*'Factores generales'!$M$41+J13*'Factores generales'!$N$41,I13*'Factores generales'!$M$41+J13*'Factores generales'!$N$41)</f>
        <v>10346234.405681953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Actividad'!$AA10*'FE Sectorial'!$H13*'FE Sectorial'!I13*'FE Sectorial'!$P13/1000</f>
        <v>0</v>
      </c>
      <c r="I14" s="147">
        <f>'Datos Actividad'!$AA10*'FE Sectorial'!$H13*'FE Sectorial'!J13/1000/1000</f>
        <v>0</v>
      </c>
      <c r="J14" s="147">
        <f>'Datos Actividad'!$AA10*'FE Sectorial'!$H13*'FE Sectorial'!K13/1000/1000</f>
        <v>0</v>
      </c>
      <c r="K14" s="147">
        <f>'Datos Actividad'!$AA10*'FE Sectorial'!$H13*'FE Sectorial'!L13/1000/1000</f>
        <v>0</v>
      </c>
      <c r="L14" s="147">
        <f>'Datos Actividad'!$AA10*'FE Sectorial'!$H13*'FE Sectorial'!M13/1000/1000</f>
        <v>0</v>
      </c>
      <c r="M14" s="147">
        <f>'Datos Actividad'!$AA10*'FE Sectorial'!$H13*'FE Sectorial'!N13/1000/1000</f>
        <v>0</v>
      </c>
      <c r="N14" s="147">
        <f>'Datos Actividad'!$AA10*'FE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5983299.5436135456</v>
      </c>
      <c r="I17" s="134">
        <f t="shared" ref="I17:O17" si="5">SUM(I18:I25)</f>
        <v>185.45900984205323</v>
      </c>
      <c r="J17" s="134">
        <f t="shared" si="5"/>
        <v>36.848962935317928</v>
      </c>
      <c r="K17" s="134">
        <f t="shared" si="5"/>
        <v>15944.589324065024</v>
      </c>
      <c r="L17" s="134">
        <f t="shared" si="5"/>
        <v>1502.5366936478581</v>
      </c>
      <c r="M17" s="134">
        <f t="shared" si="5"/>
        <v>436.92982627844242</v>
      </c>
      <c r="N17" s="134">
        <f t="shared" si="5"/>
        <v>7930.9863194020445</v>
      </c>
      <c r="O17" s="134">
        <f t="shared" si="5"/>
        <v>5998617.3613301776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Actividad'!$AA14*'FE Sectorial'!$H17*'FE Sectorial'!I17*'FE Sectorial'!P17/1000</f>
        <v>1128768.2090134558</v>
      </c>
      <c r="I18" s="17">
        <f>'Datos Actividad'!$AA14*'FE Sectorial'!$H17*'FE Sectorial'!J17/1000/1000</f>
        <v>20.221754208000004</v>
      </c>
      <c r="J18" s="17">
        <f>'Datos Actividad'!$AA14*'FE Sectorial'!$H17*'FE Sectorial'!K17/1000/1000</f>
        <v>2.0221754208</v>
      </c>
      <c r="K18" s="17">
        <f>'Datos Actividad'!$AA14*'FE Sectorial'!$H17*'FE Sectorial'!L17/1000/1000</f>
        <v>3033.2631312000003</v>
      </c>
      <c r="L18" s="17">
        <f>'Datos Actividad'!$AA14*'FE Sectorial'!$H17*'FE Sectorial'!M17/1000/1000</f>
        <v>404.43508416000003</v>
      </c>
      <c r="M18" s="17">
        <f>'Datos Actividad'!$AA14*'FE Sectorial'!$H17*'FE Sectorial'!N17/1000/1000</f>
        <v>101.10877104000001</v>
      </c>
      <c r="N18" s="17">
        <f>'Datos Actividad'!$AA14*'FE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1129819.7402322716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Actividad'!$AA15*'FE Sectorial'!$H18*'FE Sectorial'!I18*'FE Sectorial'!P18/1000</f>
        <v>23800.175556164384</v>
      </c>
      <c r="I19" s="17">
        <f>'Datos Actividad'!$AA15*'FE Sectorial'!$H18*'FE Sectorial'!J18/1000/1000</f>
        <v>0.38099178082191781</v>
      </c>
      <c r="J19" s="17">
        <f>'Datos Actividad'!$AA15*'FE Sectorial'!$H18*'FE Sectorial'!K18/1000/1000</f>
        <v>3.8099178082191786E-2</v>
      </c>
      <c r="K19" s="17">
        <f>'Datos Actividad'!$AA15*'FE Sectorial'!$H18*'FE Sectorial'!L18/1000/1000</f>
        <v>57.148767123287669</v>
      </c>
      <c r="L19" s="17">
        <f>'Datos Actividad'!$AA15*'FE Sectorial'!$H18*'FE Sectorial'!M18/1000/1000</f>
        <v>7.6198356164383556</v>
      </c>
      <c r="M19" s="17">
        <f>'Datos Actividad'!$AA15*'FE Sectorial'!$H18*'FE Sectorial'!N18/1000/1000</f>
        <v>1.9049589041095889</v>
      </c>
      <c r="N19" s="17">
        <f>'Datos Actividad'!$AA15*'FE Sectorial'!$H18*'FE Sectorial'!O18/1000/1000</f>
        <v>1.6109589041095891</v>
      </c>
      <c r="O19" s="87">
        <f>IF(D19&lt;400,H19+I19*'Factores generales'!$M$41+J19*'Factores generales'!$N$41,I19*'Factores generales'!$M$41+J19*'Factores generales'!$N$41)</f>
        <v>23819.987128767123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Actividad'!$AA16*'FE Sectorial'!$H19*'FE Sectorial'!I19*'FE Sectorial'!P19/1000</f>
        <v>870048.17064000003</v>
      </c>
      <c r="I20" s="17">
        <f>'Datos Actividad'!$AA16*'FE Sectorial'!$H19*'FE Sectorial'!J19/1000/1000</f>
        <v>15.1809075</v>
      </c>
      <c r="J20" s="17">
        <f>'Datos Actividad'!$AA16*'FE Sectorial'!$H19*'FE Sectorial'!K19/1000/1000</f>
        <v>1.51809075</v>
      </c>
      <c r="K20" s="17">
        <f>'Datos Actividad'!$AA16*'FE Sectorial'!$H19*'FE Sectorial'!L19/1000/1000</f>
        <v>2277.136125</v>
      </c>
      <c r="L20" s="17">
        <f>'Datos Actividad'!$AA16*'FE Sectorial'!$H19*'FE Sectorial'!M19/1000/1000</f>
        <v>303.61815000000001</v>
      </c>
      <c r="M20" s="17">
        <f>'Datos Actividad'!$AA16*'FE Sectorial'!$H19*'FE Sectorial'!N19/1000/1000</f>
        <v>75.904537500000004</v>
      </c>
      <c r="N20" s="17">
        <f>'Datos Actividad'!$AA16*'FE Sectorial'!$H19*'FE Sectorial'!O19/1000/1000</f>
        <v>0</v>
      </c>
      <c r="O20" s="87">
        <f>IF(D20&lt;400,H20+I20*'Factores generales'!$M$41+J20*'Factores generales'!$N$41,I20*'Factores generales'!$M$41+J20*'Factores generales'!$N$41)</f>
        <v>870837.57782999997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Actividad'!$AA17*'FE Sectorial'!$H20*'FE Sectorial'!I20*'FE Sectorial'!P20/1000</f>
        <v>50442.930401941754</v>
      </c>
      <c r="I21" s="17">
        <f>'Datos Actividad'!$AA17*'FE Sectorial'!$H20*'FE Sectorial'!J20/1000/1000</f>
        <v>2.1378652427184468</v>
      </c>
      <c r="J21" s="17">
        <f>'Datos Actividad'!$AA17*'FE Sectorial'!$H20*'FE Sectorial'!K20/1000/1000</f>
        <v>0.42757304854368938</v>
      </c>
      <c r="K21" s="17">
        <f>'Datos Actividad'!$AA17*'FE Sectorial'!$H20*'FE Sectorial'!L20/1000/1000</f>
        <v>142.52434951456311</v>
      </c>
      <c r="L21" s="17">
        <f>'Datos Actividad'!$AA17*'FE Sectorial'!$H20*'FE Sectorial'!M20/1000/1000</f>
        <v>10.689326213592235</v>
      </c>
      <c r="M21" s="17">
        <f>'Datos Actividad'!$AA17*'FE Sectorial'!$H20*'FE Sectorial'!N20/1000/1000</f>
        <v>3.563108737864078</v>
      </c>
      <c r="N21" s="17">
        <f>'Datos Actividad'!$AA17*'FE Sectorial'!$H20*'FE Sectorial'!O20/1000/1000</f>
        <v>32.318446601941751</v>
      </c>
      <c r="O21" s="87">
        <f>IF(D21&lt;400,H21+I21*'Factores generales'!$M$41+J21*'Factores generales'!$N$41,I21*'Factores generales'!$M$41+J21*'Factores generales'!$N$41)</f>
        <v>50620.373217087385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Actividad'!$AA18*'FE Sectorial'!$H21*'FE Sectorial'!I21*'FE Sectorial'!P21/1000</f>
        <v>67014.144320869571</v>
      </c>
      <c r="I22" s="17">
        <f>'Datos Actividad'!$AA18*'FE Sectorial'!$H21*'FE Sectorial'!J21/1000/1000</f>
        <v>2.930348695652174</v>
      </c>
      <c r="J22" s="17">
        <f>'Datos Actividad'!$AA18*'FE Sectorial'!$H21*'FE Sectorial'!K21/1000/1000</f>
        <v>0.58606973913043492</v>
      </c>
      <c r="K22" s="17">
        <f>'Datos Actividad'!$AA18*'FE Sectorial'!$H21*'FE Sectorial'!L21/1000/1000</f>
        <v>195.35657971014493</v>
      </c>
      <c r="L22" s="17">
        <f>'Datos Actividad'!$AA18*'FE Sectorial'!$H21*'FE Sectorial'!M21/1000/1000</f>
        <v>14.651743478260871</v>
      </c>
      <c r="M22" s="17">
        <f>'Datos Actividad'!$AA18*'FE Sectorial'!$H21*'FE Sectorial'!N21/1000/1000</f>
        <v>4.8839144927536235</v>
      </c>
      <c r="N22" s="17">
        <f>'Datos Actividad'!$AA18*'FE Sectorial'!$H21*'FE Sectorial'!O21/1000/1000</f>
        <v>4.4098550724637686</v>
      </c>
      <c r="O22" s="87">
        <f>IF(D22&lt;400,H22+I22*'Factores generales'!$M$41+J22*'Factores generales'!$N$41,I22*'Factores generales'!$M$41+J22*'Factores generales'!$N$41)</f>
        <v>67257.363262608706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Actividad'!$AA19*'FE Sectorial'!$H22*'FE Sectorial'!I22*'FE Sectorial'!P22/1000</f>
        <v>672637.30147058808</v>
      </c>
      <c r="I23" s="17">
        <f>'Datos Actividad'!$AA19*'FE Sectorial'!$H22*'FE Sectorial'!J22/1000/1000</f>
        <v>27.507352941176467</v>
      </c>
      <c r="J23" s="17">
        <f>'Datos Actividad'!$AA19*'FE Sectorial'!$H22*'FE Sectorial'!K22/1000/1000</f>
        <v>5.5014705882352937</v>
      </c>
      <c r="K23" s="17">
        <f>'Datos Actividad'!$AA19*'FE Sectorial'!$H22*'FE Sectorial'!L22/1000/1000</f>
        <v>1833.8235294117644</v>
      </c>
      <c r="L23" s="17">
        <f>'Datos Actividad'!$AA19*'FE Sectorial'!$H22*'FE Sectorial'!M22/1000/1000</f>
        <v>137.53676470588235</v>
      </c>
      <c r="M23" s="17">
        <f>'Datos Actividad'!$AA19*'FE Sectorial'!$H22*'FE Sectorial'!N22/1000/1000</f>
        <v>45.845588235294109</v>
      </c>
      <c r="N23" s="17">
        <f>'Datos Actividad'!$AA19*'FE Sectorial'!$H22*'FE Sectorial'!O22/1000/1000</f>
        <v>332.64705882352933</v>
      </c>
      <c r="O23" s="87">
        <f>IF(D23&lt;400,H23+I23*'Factores generales'!$M$41+J23*'Factores generales'!$N$41,I23*'Factores generales'!$M$41+J23*'Factores generales'!$N$41)</f>
        <v>674920.41176470567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Actividad'!$AA20*'FE Sectorial'!$H23*'FE Sectorial'!I23*'FE Sectorial'!P23/1000</f>
        <v>2925427.4279999998</v>
      </c>
      <c r="I24" s="17">
        <f>'Datos Actividad'!$AA20*'FE Sectorial'!$H23*'FE Sectorial'!J23/1000/1000</f>
        <v>114.53400000000001</v>
      </c>
      <c r="J24" s="17">
        <f>'Datos Actividad'!$AA20*'FE Sectorial'!$H23*'FE Sectorial'!K23/1000/1000</f>
        <v>22.9068</v>
      </c>
      <c r="K24" s="17">
        <f>'Datos Actividad'!$AA20*'FE Sectorial'!$H23*'FE Sectorial'!L23/1000/1000</f>
        <v>7635.6</v>
      </c>
      <c r="L24" s="17">
        <f>'Datos Actividad'!$AA20*'FE Sectorial'!$H23*'FE Sectorial'!M23/1000/1000</f>
        <v>572.66999999999996</v>
      </c>
      <c r="M24" s="17">
        <f>'Datos Actividad'!$AA20*'FE Sectorial'!$H23*'FE Sectorial'!N23/1000/1000</f>
        <v>190.89</v>
      </c>
      <c r="N24" s="17">
        <f>'Datos Actividad'!$AA20*'FE Sectorial'!$H23*'FE Sectorial'!O23/1000/1000</f>
        <v>7560</v>
      </c>
      <c r="O24" s="87">
        <f>IF(D24&lt;400,H24+I24*'Factores generales'!$M$41+J24*'Factores generales'!$N$41,I24*'Factores generales'!$M$41+J24*'Factores generales'!$N$41)</f>
        <v>2934933.75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Actividad'!$AA21*'FE Sectorial'!$H24*'FE Sectorial'!I24*'FE Sectorial'!P24/1000</f>
        <v>245161.18421052629</v>
      </c>
      <c r="I25" s="17">
        <f>'Datos Actividad'!$AA21*'FE Sectorial'!$H24*'FE Sectorial'!J24/1000/1000</f>
        <v>2.5657894736842106</v>
      </c>
      <c r="J25" s="17">
        <f>'Datos Actividad'!$AA21*'FE Sectorial'!$H24*'FE Sectorial'!K24/1000/1000</f>
        <v>3.8486842105263159</v>
      </c>
      <c r="K25" s="17">
        <f>'Datos Actividad'!$AA21*'FE Sectorial'!$H24*'FE Sectorial'!L24/1000/1000</f>
        <v>769.73684210526312</v>
      </c>
      <c r="L25" s="17">
        <f>'Datos Actividad'!$AA21*'FE Sectorial'!$H24*'FE Sectorial'!M24/1000/1000</f>
        <v>51.315789473684205</v>
      </c>
      <c r="M25" s="17">
        <f>'Datos Actividad'!$AA21*'FE Sectorial'!$H24*'FE Sectorial'!N24/1000/1000</f>
        <v>12.828947368421051</v>
      </c>
      <c r="N25" s="17">
        <f>'Datos Actividad'!$AA21*'FE Sectorial'!$H24*'FE Sectorial'!O24/1000/1000</f>
        <v>0</v>
      </c>
      <c r="O25" s="87">
        <f>IF(D25&lt;400,H25+I25*'Factores generales'!$M$41+J25*'Factores generales'!$N$41,I25*'Factores generales'!$M$41+J25*'Factores generales'!$N$41)</f>
        <v>246408.1578947368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3281916.1234507812</v>
      </c>
      <c r="I26" s="134">
        <f t="shared" ref="I26:O26" si="6">I27+I28</f>
        <v>59.090160017084742</v>
      </c>
      <c r="J26" s="134">
        <f t="shared" si="6"/>
        <v>9.4097236288271198</v>
      </c>
      <c r="K26" s="134">
        <f t="shared" si="6"/>
        <v>8940.2337483254232</v>
      </c>
      <c r="L26" s="134">
        <f t="shared" si="6"/>
        <v>1134.2157003416946</v>
      </c>
      <c r="M26" s="134">
        <f t="shared" si="6"/>
        <v>284.87580008542369</v>
      </c>
      <c r="N26" s="134">
        <f t="shared" si="6"/>
        <v>2826.9491525423732</v>
      </c>
      <c r="O26" s="134">
        <f t="shared" si="6"/>
        <v>3286074.031136076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3281916.1234507812</v>
      </c>
      <c r="I28" s="15">
        <f t="shared" si="7"/>
        <v>59.090160017084742</v>
      </c>
      <c r="J28" s="15">
        <f t="shared" si="7"/>
        <v>9.4097236288271198</v>
      </c>
      <c r="K28" s="15">
        <f t="shared" si="7"/>
        <v>8940.2337483254232</v>
      </c>
      <c r="L28" s="15">
        <f t="shared" si="7"/>
        <v>1134.2157003416946</v>
      </c>
      <c r="M28" s="15">
        <f t="shared" si="7"/>
        <v>284.87580008542369</v>
      </c>
      <c r="N28" s="15">
        <f t="shared" si="7"/>
        <v>2826.9491525423732</v>
      </c>
      <c r="O28" s="15">
        <f t="shared" si="7"/>
        <v>3286074.031136076</v>
      </c>
    </row>
    <row r="29" spans="1:15" outlineLevel="1" x14ac:dyDescent="0.25">
      <c r="B29" s="1" t="s">
        <v>7</v>
      </c>
      <c r="G29" s="1"/>
      <c r="H29" s="95">
        <f t="shared" ref="H29:O29" si="8">H30+H31</f>
        <v>210808.5640677966</v>
      </c>
      <c r="I29" s="95">
        <f t="shared" si="8"/>
        <v>2.2738983050847459</v>
      </c>
      <c r="J29" s="95">
        <f t="shared" si="8"/>
        <v>3.4108474576271197</v>
      </c>
      <c r="K29" s="95">
        <f t="shared" si="8"/>
        <v>682.16949152542372</v>
      </c>
      <c r="L29" s="95">
        <f t="shared" si="8"/>
        <v>45.477966101694918</v>
      </c>
      <c r="M29" s="95">
        <f t="shared" si="8"/>
        <v>11.369491525423729</v>
      </c>
      <c r="N29" s="95">
        <f t="shared" si="8"/>
        <v>2176.9491525423732</v>
      </c>
      <c r="O29" s="95">
        <f t="shared" si="8"/>
        <v>211913.67864406778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Actividad'!$AA26*'FE Sectorial'!$H29*'FE Sectorial'!I29*'FE Sectorial'!P29/1000</f>
        <v>210808.5640677966</v>
      </c>
      <c r="I30" s="17">
        <f>'Datos Actividad'!$AA26*'FE Sectorial'!$H29*'FE Sectorial'!J29/1000/1000</f>
        <v>2.2738983050847459</v>
      </c>
      <c r="J30" s="17">
        <f>'Datos Actividad'!$AA26*'FE Sectorial'!$H29*'FE Sectorial'!K29/1000/1000</f>
        <v>3.4108474576271197</v>
      </c>
      <c r="K30" s="17">
        <f>'Datos Actividad'!$AA26*'FE Sectorial'!$H29*'FE Sectorial'!L29/1000/1000</f>
        <v>682.16949152542372</v>
      </c>
      <c r="L30" s="17">
        <f>'Datos Actividad'!$AA26*'FE Sectorial'!$H29*'FE Sectorial'!M29/1000/1000</f>
        <v>45.477966101694918</v>
      </c>
      <c r="M30" s="17">
        <f>'Datos Actividad'!$AA26*'FE Sectorial'!$H29*'FE Sectorial'!N29/1000/1000</f>
        <v>11.369491525423729</v>
      </c>
      <c r="N30" s="17">
        <f>'Datos Actividad'!$AA26*'FE Sectorial'!$H29*'FE Sectorial'!O29/1000/1000</f>
        <v>2176.9491525423732</v>
      </c>
      <c r="O30" s="87">
        <f>IF(D30&lt;400,H30+I30*'Factores generales'!$M$41+J30*'Factores generales'!$N$41,I30*'Factores generales'!$M$41+J30*'Factores generales'!$N$41)</f>
        <v>211913.67864406778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Actividad'!$AA27*'FE Sectorial'!$H30*'FE Sectorial'!I30*'FE Sectorial'!P30/1000</f>
        <v>0</v>
      </c>
      <c r="I31" s="17">
        <f>'Datos Actividad'!$AA27*'FE Sectorial'!$H30*'FE Sectorial'!J30/1000/1000</f>
        <v>0</v>
      </c>
      <c r="J31" s="17">
        <f>'Datos Actividad'!$AA27*'FE Sectorial'!$H30*'FE Sectorial'!K30/1000/1000</f>
        <v>0</v>
      </c>
      <c r="K31" s="17">
        <f>'Datos Actividad'!$AA27*'FE Sectorial'!$H30*'FE Sectorial'!L30/1000/1000</f>
        <v>0</v>
      </c>
      <c r="L31" s="17">
        <f>'Datos Actividad'!$AA27*'FE Sectorial'!$H30*'FE Sectorial'!M30/1000/1000</f>
        <v>0</v>
      </c>
      <c r="M31" s="17">
        <f>'Datos Actividad'!$AA27*'FE Sectorial'!$H30*'FE Sectorial'!N30/1000/1000</f>
        <v>0</v>
      </c>
      <c r="N31" s="17">
        <f>'Datos Actividad'!$AA27*'FE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>
        <f>H33+H34+H35</f>
        <v>3071107.5593829844</v>
      </c>
      <c r="I32" s="17">
        <f t="shared" ref="I32:O32" si="9">I33+I34+I35</f>
        <v>56.816261711999999</v>
      </c>
      <c r="J32" s="17">
        <f t="shared" si="9"/>
        <v>5.9988761712000001</v>
      </c>
      <c r="K32" s="17">
        <f t="shared" si="9"/>
        <v>8258.0642568000003</v>
      </c>
      <c r="L32" s="17">
        <f t="shared" si="9"/>
        <v>1088.7377342399998</v>
      </c>
      <c r="M32" s="17">
        <f t="shared" si="9"/>
        <v>273.50630855999998</v>
      </c>
      <c r="N32" s="17">
        <f t="shared" si="9"/>
        <v>650</v>
      </c>
      <c r="O32" s="17">
        <f t="shared" si="9"/>
        <v>3074160.3524920084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Actividad'!$AA29*'FE Sectorial'!$H32*'FE Sectorial'!I32*'FE Sectorial'!P32/1000</f>
        <v>2994367.9568829844</v>
      </c>
      <c r="I33" s="17">
        <f>'Datos Actividad'!$AA29*'FE Sectorial'!$H32*'FE Sectorial'!J32/1000/1000</f>
        <v>53.643761712</v>
      </c>
      <c r="J33" s="17">
        <f>'Datos Actividad'!$AA29*'FE Sectorial'!$H32*'FE Sectorial'!K32/1000/1000</f>
        <v>5.3643761712</v>
      </c>
      <c r="K33" s="17">
        <f>'Datos Actividad'!$AA29*'FE Sectorial'!$H32*'FE Sectorial'!L32/1000/1000</f>
        <v>8046.5642567999994</v>
      </c>
      <c r="L33" s="17">
        <f>'Datos Actividad'!$AA29*'FE Sectorial'!$H32*'FE Sectorial'!M32/1000/1000</f>
        <v>1072.8752342399998</v>
      </c>
      <c r="M33" s="17">
        <f>'Datos Actividad'!$AA29*'FE Sectorial'!$H32*'FE Sectorial'!N32/1000/1000</f>
        <v>268.21880855999996</v>
      </c>
      <c r="N33" s="17">
        <f>'Datos Actividad'!$AA29*'FE Sectorial'!$H32*'FE Sectorial'!O32/1000/1000</f>
        <v>0</v>
      </c>
      <c r="O33" s="87">
        <f>IF(D33&lt;400,H33+I33*'Factores generales'!$M$41+J33*'Factores generales'!$N$41,I33*'Factores generales'!$M$41+J33*'Factores generales'!$N$41)</f>
        <v>2997157.4324920084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Actividad'!$AA30*'FE Sectorial'!$H33*'FE Sectorial'!I33*'FE Sectorial'!P33/1000</f>
        <v>0</v>
      </c>
      <c r="I34" s="17">
        <f>'Datos Actividad'!$AA30*'FE Sectorial'!$H33*'FE Sectorial'!J33/1000/1000</f>
        <v>0</v>
      </c>
      <c r="J34" s="17">
        <f>'Datos Actividad'!$AA30*'FE Sectorial'!$H33*'FE Sectorial'!K33/1000/1000</f>
        <v>0</v>
      </c>
      <c r="K34" s="17">
        <f>'Datos Actividad'!$AA30*'FE Sectorial'!$H33*'FE Sectorial'!L33/1000/1000</f>
        <v>0</v>
      </c>
      <c r="L34" s="17">
        <f>'Datos Actividad'!$AA30*'FE Sectorial'!$H33*'FE Sectorial'!M33/1000/1000</f>
        <v>0</v>
      </c>
      <c r="M34" s="17">
        <f>'Datos Actividad'!$AA30*'FE Sectorial'!$H33*'FE Sectorial'!N33/1000/1000</f>
        <v>0</v>
      </c>
      <c r="N34" s="17">
        <f>'Datos Actividad'!$AA30*'FE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Actividad'!$AA31*'FE Sectorial'!$H34*'FE Sectorial'!I34*'FE Sectorial'!P34/1000</f>
        <v>76739.602499999994</v>
      </c>
      <c r="I35" s="17">
        <f>'Datos Actividad'!$AA31*'FE Sectorial'!$H34*'FE Sectorial'!J34/1000/1000</f>
        <v>3.1724999999999999</v>
      </c>
      <c r="J35" s="17">
        <f>'Datos Actividad'!$AA31*'FE Sectorial'!$H34*'FE Sectorial'!K34/1000/1000</f>
        <v>0.63449999999999995</v>
      </c>
      <c r="K35" s="17">
        <f>'Datos Actividad'!$AA31*'FE Sectorial'!$H34*'FE Sectorial'!L34/1000/1000</f>
        <v>211.5</v>
      </c>
      <c r="L35" s="17">
        <f>'Datos Actividad'!$AA31*'FE Sectorial'!$H34*'FE Sectorial'!M34/1000/1000</f>
        <v>15.862500000000001</v>
      </c>
      <c r="M35" s="17">
        <f>'Datos Actividad'!$AA31*'FE Sectorial'!$H34*'FE Sectorial'!N34/1000/1000</f>
        <v>5.2874999999999996</v>
      </c>
      <c r="N35" s="17">
        <f>'Datos Actividad'!$AA31*'FE Sectorial'!$H34*'FE Sectorial'!O34/1000/1000</f>
        <v>650</v>
      </c>
      <c r="O35" s="87">
        <f>IF(D35&lt;400,H35+I35*'Factores generales'!$M$41+J35*'Factores generales'!$N$41,I35*'Factores generales'!$M$41+J35*'Factores generales'!$N$41)</f>
        <v>77002.92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16295319.503354857</v>
      </c>
      <c r="I36" s="129">
        <f t="shared" si="10"/>
        <v>2293.5752646663773</v>
      </c>
      <c r="J36" s="129">
        <f t="shared" si="10"/>
        <v>323.66237021126585</v>
      </c>
      <c r="K36" s="129">
        <f t="shared" si="10"/>
        <v>46516.517867961564</v>
      </c>
      <c r="L36" s="129">
        <f t="shared" si="10"/>
        <v>270335.44082782086</v>
      </c>
      <c r="M36" s="129">
        <f t="shared" si="10"/>
        <v>4743.4566483881536</v>
      </c>
      <c r="N36" s="129">
        <f t="shared" si="10"/>
        <v>5543.8844655318662</v>
      </c>
      <c r="O36" s="129">
        <f t="shared" si="10"/>
        <v>16501024.194994135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3517968.706512698</v>
      </c>
      <c r="I37" s="134">
        <f t="shared" ref="I37:O37" si="11">SUM(I38:I44)</f>
        <v>24.836540835632306</v>
      </c>
      <c r="J37" s="134">
        <f t="shared" si="11"/>
        <v>18.262309054323467</v>
      </c>
      <c r="K37" s="134">
        <f t="shared" si="11"/>
        <v>5416.0513007834434</v>
      </c>
      <c r="L37" s="134">
        <f t="shared" si="11"/>
        <v>2097.5523654198464</v>
      </c>
      <c r="M37" s="134">
        <f t="shared" si="11"/>
        <v>293.23972172202116</v>
      </c>
      <c r="N37" s="134">
        <f t="shared" si="11"/>
        <v>0</v>
      </c>
      <c r="O37" s="134">
        <f t="shared" si="11"/>
        <v>3524151.589677087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Actividad'!$AA34*'FE Sectorial'!$H37*'FE Sectorial'!I37*'FE Sectorial'!P37/1000</f>
        <v>0</v>
      </c>
      <c r="I38" s="17">
        <f>'Datos Actividad'!$AA34*'FE Sectorial'!$H37*'FE Sectorial'!J37/1000/1000</f>
        <v>0</v>
      </c>
      <c r="J38" s="17">
        <f>'Datos Actividad'!$AA34*'FE Sectorial'!$H37*'FE Sectorial'!K37/1000/1000</f>
        <v>0</v>
      </c>
      <c r="K38" s="17">
        <f>'Datos Actividad'!$AA34*'FE Sectorial'!$H37*'FE Sectorial'!L37/1000/1000</f>
        <v>0</v>
      </c>
      <c r="L38" s="17">
        <f>'Datos Actividad'!$AA34*'FE Sectorial'!$H37*'FE Sectorial'!M37/1000/1000</f>
        <v>0</v>
      </c>
      <c r="M38" s="17">
        <f>'Datos Actividad'!$AA34*'FE Sectorial'!$H37*'FE Sectorial'!N37/1000/1000</f>
        <v>0</v>
      </c>
      <c r="N38" s="17">
        <f>'Datos Actividad'!$AA34*'FE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Actividad'!$AA35*'FE Sectorial'!$H38*'FE Sectorial'!I38*'FE Sectorial'!P38/1000</f>
        <v>2221038.5819383124</v>
      </c>
      <c r="I39" s="17">
        <f>'Datos Actividad'!$AA35*'FE Sectorial'!$H38*'FE Sectorial'!J38/1000/1000</f>
        <v>8.5853829993749997</v>
      </c>
      <c r="J39" s="17">
        <f>'Datos Actividad'!$AA35*'FE Sectorial'!$H38*'FE Sectorial'!K38/1000/1000</f>
        <v>0.85853829993750019</v>
      </c>
      <c r="K39" s="17">
        <f>'Datos Actividad'!$AA35*'FE Sectorial'!$H38*'FE Sectorial'!L38/1000/1000</f>
        <v>1287.80744990625</v>
      </c>
      <c r="L39" s="17">
        <f>'Datos Actividad'!$AA35*'FE Sectorial'!$H38*'FE Sectorial'!M38/1000/1000</f>
        <v>257.56148998125002</v>
      </c>
      <c r="M39" s="17">
        <f>'Datos Actividad'!$AA35*'FE Sectorial'!$H38*'FE Sectorial'!N38/1000/1000</f>
        <v>42.926914996875006</v>
      </c>
      <c r="N39" s="17">
        <f>'Datos Actividad'!$AA35*'FE Sectorial'!$H38*'FE Sectorial'!O38/1000/1000</f>
        <v>0</v>
      </c>
      <c r="O39" s="87">
        <f>IF(D39&lt;400,H39+I39*'Factores generales'!$M$41+J39*'Factores generales'!$N$41,I39*'Factores generales'!$M$41+J39*'Factores generales'!$N$41)</f>
        <v>2221485.0218542796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Actividad'!$AA36*'FE Sectorial'!$H39*'FE Sectorial'!I39*'FE Sectorial'!P39/1000</f>
        <v>220036.92282000004</v>
      </c>
      <c r="I40" s="17">
        <f>'Datos Actividad'!$AA36*'FE Sectorial'!$H39*'FE Sectorial'!J39/1000/1000</f>
        <v>4.9806900000000009</v>
      </c>
      <c r="J40" s="17">
        <f>'Datos Actividad'!$AA36*'FE Sectorial'!$H39*'FE Sectorial'!K39/1000/1000</f>
        <v>0.49806900000000015</v>
      </c>
      <c r="K40" s="17">
        <f>'Datos Actividad'!$AA36*'FE Sectorial'!$H39*'FE Sectorial'!L39/1000/1000</f>
        <v>747.10350000000017</v>
      </c>
      <c r="L40" s="17">
        <f>'Datos Actividad'!$AA36*'FE Sectorial'!$H39*'FE Sectorial'!M39/1000/1000</f>
        <v>149.42070000000004</v>
      </c>
      <c r="M40" s="17">
        <f>'Datos Actividad'!$AA36*'FE Sectorial'!$H39*'FE Sectorial'!N39/1000/1000</f>
        <v>24.903450000000003</v>
      </c>
      <c r="N40" s="17">
        <f>'Datos Actividad'!$AA36*'FE Sectorial'!$H39*'FE Sectorial'!O39/1000/1000</f>
        <v>0</v>
      </c>
      <c r="O40" s="87">
        <f>IF(D40&lt;400,H40+I40*'Factores generales'!$M$41+J40*'Factores generales'!$N$41,I40*'Factores generales'!$M$41+J40*'Factores generales'!$N$41)</f>
        <v>220295.91870000004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Actividad'!$AA37*'FE Sectorial'!$H40*'FE Sectorial'!I40*'FE Sectorial'!P40/1000</f>
        <v>0</v>
      </c>
      <c r="I41" s="17">
        <f>'Datos Actividad'!$AA37*'FE Sectorial'!$H40*'FE Sectorial'!J40/1000/1000</f>
        <v>0</v>
      </c>
      <c r="J41" s="17">
        <f>'Datos Actividad'!$AA37*'FE Sectorial'!$H40*'FE Sectorial'!K40/1000/1000</f>
        <v>0</v>
      </c>
      <c r="K41" s="17">
        <f>'Datos Actividad'!$AA37*'FE Sectorial'!$H40*'FE Sectorial'!L40/1000/1000</f>
        <v>0</v>
      </c>
      <c r="L41" s="17">
        <f>'Datos Actividad'!$AA37*'FE Sectorial'!$H40*'FE Sectorial'!M40/1000/1000</f>
        <v>0</v>
      </c>
      <c r="M41" s="17">
        <f>'Datos Actividad'!$AA37*'FE Sectorial'!$H40*'FE Sectorial'!N40/1000/1000</f>
        <v>0</v>
      </c>
      <c r="N41" s="17">
        <f>'Datos Actividad'!$AA37*'FE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Actividad'!$AA38*'FE Sectorial'!$H41*'FE Sectorial'!I41*'FE Sectorial'!P41/1000</f>
        <v>0</v>
      </c>
      <c r="I42" s="17">
        <f>'Datos Actividad'!$AA38*'FE Sectorial'!$H41*'FE Sectorial'!J41/1000/1000</f>
        <v>0</v>
      </c>
      <c r="J42" s="17">
        <f>'Datos Actividad'!$AA38*'FE Sectorial'!$H41*'FE Sectorial'!K41/1000/1000</f>
        <v>0</v>
      </c>
      <c r="K42" s="17">
        <f>'Datos Actividad'!$AA38*'FE Sectorial'!$H41*'FE Sectorial'!L41/1000/1000</f>
        <v>0</v>
      </c>
      <c r="L42" s="17">
        <f>'Datos Actividad'!$AA38*'FE Sectorial'!$H41*'FE Sectorial'!M41/1000/1000</f>
        <v>0</v>
      </c>
      <c r="M42" s="17">
        <f>'Datos Actividad'!$AA38*'FE Sectorial'!$H41*'FE Sectorial'!N41/1000/1000</f>
        <v>0</v>
      </c>
      <c r="N42" s="17">
        <f>'Datos Actividad'!$AA38*'FE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Actividad'!$AA39*'FE Sectorial'!$H42*'FE Sectorial'!I42*'FE Sectorial'!P42/1000</f>
        <v>490322.36842105258</v>
      </c>
      <c r="I43" s="17">
        <f>'Datos Actividad'!$AA39*'FE Sectorial'!$H42*'FE Sectorial'!J42/1000/1000</f>
        <v>5.1315789473684212</v>
      </c>
      <c r="J43" s="17">
        <f>'Datos Actividad'!$AA39*'FE Sectorial'!$H42*'FE Sectorial'!K42/1000/1000</f>
        <v>7.6973684210526319</v>
      </c>
      <c r="K43" s="17">
        <f>'Datos Actividad'!$AA39*'FE Sectorial'!$H42*'FE Sectorial'!L42/1000/1000</f>
        <v>1539.4736842105262</v>
      </c>
      <c r="L43" s="17">
        <f>'Datos Actividad'!$AA39*'FE Sectorial'!$H42*'FE Sectorial'!M42/1000/1000</f>
        <v>769.73684210526312</v>
      </c>
      <c r="M43" s="17">
        <f>'Datos Actividad'!$AA39*'FE Sectorial'!$H42*'FE Sectorial'!N42/1000/1000</f>
        <v>102.63157894736841</v>
      </c>
      <c r="N43" s="17">
        <f>'Datos Actividad'!$AA39*'FE Sectorial'!$H42*'FE Sectorial'!O42/1000/1000</f>
        <v>0</v>
      </c>
      <c r="O43" s="87">
        <f>IF(D43&lt;400,H43+I43*'Factores generales'!$M$41+J43*'Factores generales'!$N$41,I43*'Factores generales'!$M$41+J43*'Factores generales'!$N$41)</f>
        <v>492816.31578947359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Actividad'!$AA40*'FE Sectorial'!$H43*'FE Sectorial'!I43*'FE Sectorial'!P43/1000</f>
        <v>586570.83333333326</v>
      </c>
      <c r="I44" s="17">
        <f>'Datos Actividad'!$AA40*'FE Sectorial'!$H43*'FE Sectorial'!J43/1000/1000</f>
        <v>6.1388888888888875</v>
      </c>
      <c r="J44" s="17">
        <f>'Datos Actividad'!$AA40*'FE Sectorial'!$H43*'FE Sectorial'!K43/1000/1000</f>
        <v>9.2083333333333339</v>
      </c>
      <c r="K44" s="17">
        <f>'Datos Actividad'!$AA40*'FE Sectorial'!$H43*'FE Sectorial'!L43/1000/1000</f>
        <v>1841.6666666666665</v>
      </c>
      <c r="L44" s="17">
        <f>'Datos Actividad'!$AA40*'FE Sectorial'!$H43*'FE Sectorial'!M43/1000/1000</f>
        <v>920.83333333333326</v>
      </c>
      <c r="M44" s="17">
        <f>'Datos Actividad'!$AA40*'FE Sectorial'!$H43*'FE Sectorial'!N43/1000/1000</f>
        <v>122.77777777777777</v>
      </c>
      <c r="N44" s="17">
        <f>'Datos Actividad'!$AA40*'FE Sectorial'!$H43*'FE Sectorial'!O43/1000/1000</f>
        <v>0</v>
      </c>
      <c r="O44" s="87">
        <f>IF(D44&lt;400,H44+I44*'Factores generales'!$M$41+J44*'Factores generales'!$N$41,I44*'Factores generales'!$M$41+J44*'Factores generales'!$N$41)</f>
        <v>589554.33333333326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Actividad'!$AA42*'FE Sectorial'!$H45*'FE Sectorial'!I45*'FE Sectorial'!P45/1000</f>
        <v>0</v>
      </c>
      <c r="I46" s="17">
        <f>'Datos Actividad'!$AA42*'FE Sectorial'!$H45*'FE Sectorial'!J45/1000/1000</f>
        <v>0</v>
      </c>
      <c r="J46" s="17">
        <f>'Datos Actividad'!$AA42*'FE Sectorial'!$H45*'FE Sectorial'!K45/1000/1000</f>
        <v>0</v>
      </c>
      <c r="K46" s="17">
        <f>'Datos Actividad'!$AA42*'FE Sectorial'!$H45*'FE Sectorial'!L45/1000/1000</f>
        <v>0</v>
      </c>
      <c r="L46" s="17">
        <f>'Datos Actividad'!$AA42*'FE Sectorial'!$H45*'FE Sectorial'!M45/1000/1000</f>
        <v>0</v>
      </c>
      <c r="M46" s="17">
        <f>'Datos Actividad'!$AA42*'FE Sectorial'!$H45*'FE Sectorial'!N45/1000/1000</f>
        <v>0</v>
      </c>
      <c r="N46" s="17">
        <f>'Datos Actividad'!$AA42*'FE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65410.850419200004</v>
      </c>
      <c r="I47" s="134">
        <f t="shared" ref="I47:O47" si="13">SUM(I48:I55)</f>
        <v>221.54556515682475</v>
      </c>
      <c r="J47" s="134">
        <f t="shared" si="13"/>
        <v>30.319566721962595</v>
      </c>
      <c r="K47" s="134">
        <f t="shared" si="13"/>
        <v>1083.4872343122229</v>
      </c>
      <c r="L47" s="134">
        <f t="shared" si="13"/>
        <v>29431.451225752069</v>
      </c>
      <c r="M47" s="134">
        <f t="shared" si="13"/>
        <v>384.02285778769033</v>
      </c>
      <c r="N47" s="134">
        <f t="shared" si="13"/>
        <v>0</v>
      </c>
      <c r="O47" s="134">
        <f t="shared" si="13"/>
        <v>136666.64928709119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Actividad'!$AA44*'FE Sectorial'!$H47*'FE Sectorial'!I47*'FE Sectorial'!P47/1000</f>
        <v>0</v>
      </c>
      <c r="I48" s="17">
        <f>'Datos Actividad'!$AA44*'FE Sectorial'!$H47*'FE Sectorial'!J47/1000/1000</f>
        <v>0</v>
      </c>
      <c r="J48" s="17">
        <f>'Datos Actividad'!$AA44*'FE Sectorial'!$H47*'FE Sectorial'!K47/1000/1000</f>
        <v>0</v>
      </c>
      <c r="K48" s="17">
        <f>'Datos Actividad'!$AA44*'FE Sectorial'!$H47*'FE Sectorial'!L47/1000/1000</f>
        <v>0</v>
      </c>
      <c r="L48" s="17">
        <f>'Datos Actividad'!$AA44*'FE Sectorial'!$H47*'FE Sectorial'!M47/1000/1000</f>
        <v>0</v>
      </c>
      <c r="M48" s="17">
        <f>'Datos Actividad'!$AA44*'FE Sectorial'!$H47*'FE Sectorial'!N47/1000/1000</f>
        <v>0</v>
      </c>
      <c r="N48" s="17">
        <f>'Datos Actividad'!$AA44*'FE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Actividad'!$AA45*'FE Sectorial'!$H48*'FE Sectorial'!I48*'FE Sectorial'!P48/1000</f>
        <v>65410.850419200004</v>
      </c>
      <c r="I49" s="17">
        <f>'Datos Actividad'!$AA45*'FE Sectorial'!$H48*'FE Sectorial'!J48/1000/1000</f>
        <v>1.1413116000000001</v>
      </c>
      <c r="J49" s="17">
        <f>'Datos Actividad'!$AA45*'FE Sectorial'!$H48*'FE Sectorial'!K48/1000/1000</f>
        <v>0.11413116000000002</v>
      </c>
      <c r="K49" s="17">
        <f>'Datos Actividad'!$AA45*'FE Sectorial'!$H48*'FE Sectorial'!L48/1000/1000</f>
        <v>171.19673999999998</v>
      </c>
      <c r="L49" s="17">
        <f>'Datos Actividad'!$AA45*'FE Sectorial'!$H48*'FE Sectorial'!M48/1000/1000</f>
        <v>34.239348</v>
      </c>
      <c r="M49" s="17">
        <f>'Datos Actividad'!$AA45*'FE Sectorial'!$H48*'FE Sectorial'!N48/1000/1000</f>
        <v>5.7065580000000002</v>
      </c>
      <c r="N49" s="17">
        <f>'Datos Actividad'!$AA45*'FE Sectorial'!$H48*'FE Sectorial'!O48/1000/1000</f>
        <v>0</v>
      </c>
      <c r="O49" s="87">
        <f>IF(D49&lt;400,H49+I49*'Factores generales'!$M$41+J49*'Factores generales'!$N$41,I49*'Factores generales'!$M$41+J49*'Factores generales'!$N$41)</f>
        <v>65470.198622400007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Actividad'!$AA46*'FE Sectorial'!$H49*'FE Sectorial'!I49*'FE Sectorial'!P49/1000</f>
        <v>0</v>
      </c>
      <c r="I50" s="17">
        <f>'Datos Actividad'!$AA46*'FE Sectorial'!$H49*'FE Sectorial'!J49/1000/1000</f>
        <v>0</v>
      </c>
      <c r="J50" s="17">
        <f>'Datos Actividad'!$AA46*'FE Sectorial'!$H49*'FE Sectorial'!K49/1000/1000</f>
        <v>0</v>
      </c>
      <c r="K50" s="17">
        <f>'Datos Actividad'!$AA46*'FE Sectorial'!$H49*'FE Sectorial'!L49/1000/1000</f>
        <v>0</v>
      </c>
      <c r="L50" s="17">
        <f>'Datos Actividad'!$AA46*'FE Sectorial'!$H49*'FE Sectorial'!M49/1000/1000</f>
        <v>0</v>
      </c>
      <c r="M50" s="17">
        <f>'Datos Actividad'!$AA46*'FE Sectorial'!$H49*'FE Sectorial'!N49/1000/1000</f>
        <v>0</v>
      </c>
      <c r="N50" s="17">
        <f>'Datos Actividad'!$AA46*'FE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Actividad'!$AA47*'FE Sectorial'!$H50*'FE Sectorial'!I50*'FE Sectorial'!P50/1000</f>
        <v>0</v>
      </c>
      <c r="I51" s="17">
        <f>'Datos Actividad'!$AA47*'FE Sectorial'!$H50*'FE Sectorial'!J50/1000/1000</f>
        <v>0</v>
      </c>
      <c r="J51" s="17">
        <f>'Datos Actividad'!$AA47*'FE Sectorial'!$H50*'FE Sectorial'!K50/1000/1000</f>
        <v>0</v>
      </c>
      <c r="K51" s="17">
        <f>'Datos Actividad'!$AA47*'FE Sectorial'!$H50*'FE Sectorial'!L50/1000/1000</f>
        <v>0</v>
      </c>
      <c r="L51" s="17">
        <f>'Datos Actividad'!$AA47*'FE Sectorial'!$H50*'FE Sectorial'!M50/1000/1000</f>
        <v>0</v>
      </c>
      <c r="M51" s="17">
        <f>'Datos Actividad'!$AA47*'FE Sectorial'!$H50*'FE Sectorial'!N50/1000/1000</f>
        <v>0</v>
      </c>
      <c r="N51" s="17">
        <f>'Datos Actividad'!$AA47*'FE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Actividad'!$AA48*'FE Sectorial'!$H51*'FE Sectorial'!I51*'FE Sectorial'!P51/1000</f>
        <v>0</v>
      </c>
      <c r="I52" s="17">
        <f>'Datos Actividad'!$AA48*'FE Sectorial'!$H51*'FE Sectorial'!J51/1000/1000</f>
        <v>0</v>
      </c>
      <c r="J52" s="17">
        <f>'Datos Actividad'!$AA48*'FE Sectorial'!$H51*'FE Sectorial'!K51/1000/1000</f>
        <v>0</v>
      </c>
      <c r="K52" s="17">
        <f>'Datos Actividad'!$AA48*'FE Sectorial'!$H51*'FE Sectorial'!L51/1000/1000</f>
        <v>0</v>
      </c>
      <c r="L52" s="17">
        <f>'Datos Actividad'!$AA48*'FE Sectorial'!$H51*'FE Sectorial'!M51/1000/1000</f>
        <v>0</v>
      </c>
      <c r="M52" s="17">
        <f>'Datos Actividad'!$AA48*'FE Sectorial'!$H51*'FE Sectorial'!N51/1000/1000</f>
        <v>0</v>
      </c>
      <c r="N52" s="17">
        <f>'Datos Actividad'!$AA48*'FE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Actividad'!$AA49*'FE Sectorial'!$H52*'FE Sectorial'!I52*'FE Sectorial'!P52/1000</f>
        <v>637436.15110426547</v>
      </c>
      <c r="I53" s="17">
        <f>'Datos Actividad'!$AA49*'FE Sectorial'!$H52*'FE Sectorial'!J52/1000/1000</f>
        <v>219.80556934629843</v>
      </c>
      <c r="J53" s="17">
        <f>'Datos Actividad'!$AA49*'FE Sectorial'!$H52*'FE Sectorial'!K52/1000/1000</f>
        <v>29.307409246173123</v>
      </c>
      <c r="K53" s="17">
        <f>'Datos Actividad'!$AA49*'FE Sectorial'!$H52*'FE Sectorial'!L52/1000/1000</f>
        <v>732.68523115432811</v>
      </c>
      <c r="L53" s="17">
        <f>'Datos Actividad'!$AA49*'FE Sectorial'!$H52*'FE Sectorial'!M52/1000/1000</f>
        <v>29307.409246173123</v>
      </c>
      <c r="M53" s="17">
        <f>'Datos Actividad'!$AA49*'FE Sectorial'!$H52*'FE Sectorial'!N52/1000/1000</f>
        <v>366.34261557716405</v>
      </c>
      <c r="N53" s="17">
        <f>'Datos Actividad'!$AA49*'FE Sectorial'!$H52*'FE Sectorial'!O52/1000/1000</f>
        <v>0</v>
      </c>
      <c r="O53" s="87">
        <f>IF(D53&lt;400,H53+I53*'Factores generales'!$M$41+J53*'Factores generales'!$N$41,I53*'Factores generales'!$M$41+J53*'Factores generales'!$N$41)</f>
        <v>13701.213822585934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Actividad'!$AA50*'FE Sectorial'!$H53*'FE Sectorial'!I53*'FE Sectorial'!P53/1000</f>
        <v>57204.276315789466</v>
      </c>
      <c r="I54" s="17">
        <f>'Datos Actividad'!$AA50*'FE Sectorial'!$H53*'FE Sectorial'!J53/1000/1000</f>
        <v>0.59868421052631571</v>
      </c>
      <c r="J54" s="17">
        <f>'Datos Actividad'!$AA50*'FE Sectorial'!$H53*'FE Sectorial'!K53/1000/1000</f>
        <v>0.89802631578947378</v>
      </c>
      <c r="K54" s="17">
        <f>'Datos Actividad'!$AA50*'FE Sectorial'!$H53*'FE Sectorial'!L53/1000/1000</f>
        <v>179.60526315789471</v>
      </c>
      <c r="L54" s="17">
        <f>'Datos Actividad'!$AA50*'FE Sectorial'!$H53*'FE Sectorial'!M53/1000/1000</f>
        <v>89.802631578947356</v>
      </c>
      <c r="M54" s="17">
        <f>'Datos Actividad'!$AA50*'FE Sectorial'!$H53*'FE Sectorial'!N53/1000/1000</f>
        <v>11.973684210526313</v>
      </c>
      <c r="N54" s="17">
        <f>'Datos Actividad'!$AA50*'FE Sectorial'!$H53*'FE Sectorial'!O53/1000/1000</f>
        <v>0</v>
      </c>
      <c r="O54" s="87">
        <f>IF(D54&lt;400,H54+I54*'Factores generales'!$M$41+J54*'Factores generales'!$N$41,I54*'Factores generales'!$M$41+J54*'Factores generales'!$N$41)</f>
        <v>57495.23684210526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Actividad'!$AA51*'FE Sectorial'!$H54*'FE Sectorial'!I54*'FE Sectorial'!P54/1000</f>
        <v>0</v>
      </c>
      <c r="I55" s="17">
        <f>'Datos Actividad'!$AA51*'FE Sectorial'!$H54*'FE Sectorial'!J54/1000/1000</f>
        <v>0</v>
      </c>
      <c r="J55" s="17">
        <f>'Datos Actividad'!$AA51*'FE Sectorial'!$H54*'FE Sectorial'!K54/1000/1000</f>
        <v>0</v>
      </c>
      <c r="K55" s="17">
        <f>'Datos Actividad'!$AA51*'FE Sectorial'!$H54*'FE Sectorial'!L54/1000/1000</f>
        <v>0</v>
      </c>
      <c r="L55" s="17">
        <f>'Datos Actividad'!$AA51*'FE Sectorial'!$H54*'FE Sectorial'!M54/1000/1000</f>
        <v>0</v>
      </c>
      <c r="M55" s="17">
        <f>'Datos Actividad'!$AA51*'FE Sectorial'!$H54*'FE Sectorial'!N54/1000/1000</f>
        <v>0</v>
      </c>
      <c r="N55" s="17">
        <f>'Datos Actividad'!$AA51*'FE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464.24574021772605</v>
      </c>
      <c r="J56" s="134">
        <f t="shared" ref="J56:O56" si="14">SUM(J57:J62)</f>
        <v>61.89943202903013</v>
      </c>
      <c r="K56" s="134">
        <f t="shared" si="14"/>
        <v>1547.4858007257535</v>
      </c>
      <c r="L56" s="134">
        <f t="shared" si="14"/>
        <v>58004.858115986652</v>
      </c>
      <c r="M56" s="134">
        <f t="shared" si="14"/>
        <v>773.74290036287675</v>
      </c>
      <c r="N56" s="134">
        <f t="shared" si="14"/>
        <v>499.304347826087</v>
      </c>
      <c r="O56" s="134">
        <f t="shared" si="14"/>
        <v>28937.984473571589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Actividad'!$AA53*'FE Sectorial'!$H56*'FE Sectorial'!I56*'FE Sectorial'!P56/1000</f>
        <v>0</v>
      </c>
      <c r="I57" s="17">
        <f>'Datos Actividad'!$AA53*'FE Sectorial'!$H56*'FE Sectorial'!J56/1000/1000</f>
        <v>0</v>
      </c>
      <c r="J57" s="17">
        <f>'Datos Actividad'!$AA53*'FE Sectorial'!$H56*'FE Sectorial'!K56/1000/1000</f>
        <v>0</v>
      </c>
      <c r="K57" s="17">
        <f>'Datos Actividad'!$AA53*'FE Sectorial'!$H56*'FE Sectorial'!L56/1000/1000</f>
        <v>0</v>
      </c>
      <c r="L57" s="17">
        <f>'Datos Actividad'!$AA53*'FE Sectorial'!$H56*'FE Sectorial'!M56/1000/1000</f>
        <v>0</v>
      </c>
      <c r="M57" s="17">
        <f>'Datos Actividad'!$AA53*'FE Sectorial'!$H56*'FE Sectorial'!N56/1000/1000</f>
        <v>0</v>
      </c>
      <c r="N57" s="17">
        <f>'Datos Actividad'!$AA53*'FE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Actividad'!$AA54*'FE Sectorial'!$H57*'FE Sectorial'!I57*'FE Sectorial'!P57/1000</f>
        <v>0</v>
      </c>
      <c r="I58" s="17">
        <f>'Datos Actividad'!$AA54*'FE Sectorial'!$H57*'FE Sectorial'!J57/1000/1000</f>
        <v>0</v>
      </c>
      <c r="J58" s="17">
        <f>'Datos Actividad'!$AA54*'FE Sectorial'!$H57*'FE Sectorial'!K57/1000/1000</f>
        <v>0</v>
      </c>
      <c r="K58" s="17">
        <f>'Datos Actividad'!$AA54*'FE Sectorial'!$H57*'FE Sectorial'!L57/1000/1000</f>
        <v>0</v>
      </c>
      <c r="L58" s="17">
        <f>'Datos Actividad'!$AA54*'FE Sectorial'!$H57*'FE Sectorial'!M57/1000/1000</f>
        <v>0</v>
      </c>
      <c r="M58" s="17">
        <f>'Datos Actividad'!$AA54*'FE Sectorial'!$H57*'FE Sectorial'!N57/1000/1000</f>
        <v>0</v>
      </c>
      <c r="N58" s="17">
        <f>'Datos Actividad'!$AA54*'FE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Actividad'!$AA55*'FE Sectorial'!$H58*'FE Sectorial'!I58*'FE Sectorial'!P58/1000</f>
        <v>0</v>
      </c>
      <c r="I59" s="17">
        <f>'Datos Actividad'!$AA55*'FE Sectorial'!$H58*'FE Sectorial'!J58/1000/1000</f>
        <v>0</v>
      </c>
      <c r="J59" s="17">
        <f>'Datos Actividad'!$AA55*'FE Sectorial'!$H58*'FE Sectorial'!K58/1000/1000</f>
        <v>0</v>
      </c>
      <c r="K59" s="17">
        <f>'Datos Actividad'!$AA55*'FE Sectorial'!$H58*'FE Sectorial'!L58/1000/1000</f>
        <v>0</v>
      </c>
      <c r="L59" s="17">
        <f>'Datos Actividad'!$AA55*'FE Sectorial'!$H58*'FE Sectorial'!M58/1000/1000</f>
        <v>0</v>
      </c>
      <c r="M59" s="17">
        <f>'Datos Actividad'!$AA55*'FE Sectorial'!$H58*'FE Sectorial'!N58/1000/1000</f>
        <v>0</v>
      </c>
      <c r="N59" s="17">
        <f>'Datos Actividad'!$AA55*'FE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Actividad'!$AA56*'FE Sectorial'!$H59*'FE Sectorial'!I59*'FE Sectorial'!P59/1000</f>
        <v>445713.18</v>
      </c>
      <c r="I60" s="17">
        <f>'Datos Actividad'!$AA56*'FE Sectorial'!$H59*'FE Sectorial'!J59/1000/1000</f>
        <v>153.69420000000002</v>
      </c>
      <c r="J60" s="17">
        <f>'Datos Actividad'!$AA56*'FE Sectorial'!$H59*'FE Sectorial'!K59/1000/1000</f>
        <v>20.492560000000001</v>
      </c>
      <c r="K60" s="17">
        <f>'Datos Actividad'!$AA56*'FE Sectorial'!$H59*'FE Sectorial'!L59/1000/1000</f>
        <v>512.31399999999996</v>
      </c>
      <c r="L60" s="17">
        <f>'Datos Actividad'!$AA56*'FE Sectorial'!$H59*'FE Sectorial'!M59/1000/1000</f>
        <v>20492.560000000001</v>
      </c>
      <c r="M60" s="17">
        <f>'Datos Actividad'!$AA56*'FE Sectorial'!$H59*'FE Sectorial'!N59/1000/1000</f>
        <v>256.15699999999998</v>
      </c>
      <c r="N60" s="17">
        <f>'Datos Actividad'!$AA56*'FE Sectorial'!$H59*'FE Sectorial'!O59/1000/1000</f>
        <v>0</v>
      </c>
      <c r="O60" s="87">
        <f>IF(D60&lt;400,H60+I60*'Factores generales'!$M$41+J60*'Factores generales'!$N$41,I60*'Factores generales'!$M$41+J60*'Factores generales'!$N$41)</f>
        <v>9580.2718000000004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Actividad'!$AA57*'FE Sectorial'!$H60*'FE Sectorial'!I60*'FE Sectorial'!P60/1000</f>
        <v>189743.64104347827</v>
      </c>
      <c r="I61" s="17">
        <f>'Datos Actividad'!$AA57*'FE Sectorial'!$H60*'FE Sectorial'!J60/1000/1000</f>
        <v>58.418608695652175</v>
      </c>
      <c r="J61" s="17">
        <f>'Datos Actividad'!$AA57*'FE Sectorial'!$H60*'FE Sectorial'!K60/1000/1000</f>
        <v>7.7891478260869569</v>
      </c>
      <c r="K61" s="17">
        <f>'Datos Actividad'!$AA57*'FE Sectorial'!$H60*'FE Sectorial'!L60/1000/1000</f>
        <v>194.72869565217394</v>
      </c>
      <c r="L61" s="17">
        <f>'Datos Actividad'!$AA57*'FE Sectorial'!$H60*'FE Sectorial'!M60/1000/1000</f>
        <v>3894.5739130434786</v>
      </c>
      <c r="M61" s="17">
        <f>'Datos Actividad'!$AA57*'FE Sectorial'!$H60*'FE Sectorial'!N60/1000/1000</f>
        <v>97.36434782608697</v>
      </c>
      <c r="N61" s="17">
        <f>'Datos Actividad'!$AA57*'FE Sectorial'!$H60*'FE Sectorial'!O60/1000/1000</f>
        <v>499.304347826087</v>
      </c>
      <c r="O61" s="87">
        <f>IF(D61&lt;400,H61+I61*'Factores generales'!$M$41+J61*'Factores generales'!$N$41,I61*'Factores generales'!$M$41+J61*'Factores generales'!$N$41)</f>
        <v>3641.4266086956522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Actividad'!$AA58*'FE Sectorial'!$H61*'FE Sectorial'!I61*'FE Sectorial'!P61/1000</f>
        <v>731185.50141401414</v>
      </c>
      <c r="I62" s="17">
        <f>'Datos Actividad'!$AA58*'FE Sectorial'!$H61*'FE Sectorial'!J61/1000/1000</f>
        <v>252.13293152207382</v>
      </c>
      <c r="J62" s="17">
        <f>'Datos Actividad'!$AA58*'FE Sectorial'!$H61*'FE Sectorial'!K61/1000/1000</f>
        <v>33.617724202943172</v>
      </c>
      <c r="K62" s="17">
        <f>'Datos Actividad'!$AA58*'FE Sectorial'!$H61*'FE Sectorial'!L61/1000/1000</f>
        <v>840.44310507357943</v>
      </c>
      <c r="L62" s="17">
        <f>'Datos Actividad'!$AA58*'FE Sectorial'!$H61*'FE Sectorial'!M61/1000/1000</f>
        <v>33617.724202943173</v>
      </c>
      <c r="M62" s="17">
        <f>'Datos Actividad'!$AA58*'FE Sectorial'!$H61*'FE Sectorial'!N61/1000/1000</f>
        <v>420.22155253678972</v>
      </c>
      <c r="N62" s="17">
        <f>'Datos Actividad'!$AA58*'FE Sectorial'!$H61*'FE Sectorial'!O61/1000/1000</f>
        <v>0</v>
      </c>
      <c r="O62" s="87">
        <f>IF(D62&lt;400,H62+I62*'Factores generales'!$M$41+J62*'Factores generales'!$N$41,I62*'Factores generales'!$M$41+J62*'Factores generales'!$N$41)</f>
        <v>15716.286064875934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1102.9343699859571</v>
      </c>
      <c r="J63" s="134">
        <f t="shared" ref="J63:O63" si="15">SUM(J64:J69)</f>
        <v>147.05791599812758</v>
      </c>
      <c r="K63" s="134">
        <f t="shared" si="15"/>
        <v>3676.4478999531902</v>
      </c>
      <c r="L63" s="134">
        <f t="shared" si="15"/>
        <v>147018.57686769281</v>
      </c>
      <c r="M63" s="134">
        <f t="shared" si="15"/>
        <v>1838.2239499765951</v>
      </c>
      <c r="N63" s="134">
        <f t="shared" si="15"/>
        <v>5.0434782608695663</v>
      </c>
      <c r="O63" s="134">
        <f t="shared" si="15"/>
        <v>68749.575729124641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Actividad'!$AA60*'FE Sectorial'!$H63*'FE Sectorial'!I63*'FE Sectorial'!P63/1000</f>
        <v>0</v>
      </c>
      <c r="I64" s="17">
        <f>'Datos Actividad'!$AA60*'FE Sectorial'!$H63*'FE Sectorial'!J63/1000/1000</f>
        <v>0</v>
      </c>
      <c r="J64" s="17">
        <f>'Datos Actividad'!$AA60*'FE Sectorial'!$H63*'FE Sectorial'!K63/1000/1000</f>
        <v>0</v>
      </c>
      <c r="K64" s="17">
        <f>'Datos Actividad'!$AA60*'FE Sectorial'!$H63*'FE Sectorial'!L63/1000/1000</f>
        <v>0</v>
      </c>
      <c r="L64" s="17">
        <f>'Datos Actividad'!$AA60*'FE Sectorial'!$H63*'FE Sectorial'!M63/1000/1000</f>
        <v>0</v>
      </c>
      <c r="M64" s="17">
        <f>'Datos Actividad'!$AA60*'FE Sectorial'!$H63*'FE Sectorial'!N63/1000/1000</f>
        <v>0</v>
      </c>
      <c r="N64" s="17">
        <f>'Datos Actividad'!$AA60*'FE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Actividad'!$AA61*'FE Sectorial'!$H64*'FE Sectorial'!I64*'FE Sectorial'!P64/1000</f>
        <v>0</v>
      </c>
      <c r="I65" s="17">
        <f>'Datos Actividad'!$AA61*'FE Sectorial'!$H64*'FE Sectorial'!J64/1000/1000</f>
        <v>0</v>
      </c>
      <c r="J65" s="17">
        <f>'Datos Actividad'!$AA61*'FE Sectorial'!$H64*'FE Sectorial'!K64/1000/1000</f>
        <v>0</v>
      </c>
      <c r="K65" s="17">
        <f>'Datos Actividad'!$AA61*'FE Sectorial'!$H64*'FE Sectorial'!L64/1000/1000</f>
        <v>0</v>
      </c>
      <c r="L65" s="17">
        <f>'Datos Actividad'!$AA61*'FE Sectorial'!$H64*'FE Sectorial'!M64/1000/1000</f>
        <v>0</v>
      </c>
      <c r="M65" s="17">
        <f>'Datos Actividad'!$AA61*'FE Sectorial'!$H64*'FE Sectorial'!N64/1000/1000</f>
        <v>0</v>
      </c>
      <c r="N65" s="17">
        <f>'Datos Actividad'!$AA61*'FE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Actividad'!$AA62*'FE Sectorial'!$H65*'FE Sectorial'!I65*'FE Sectorial'!P65/1000</f>
        <v>0</v>
      </c>
      <c r="I66" s="17">
        <f>'Datos Actividad'!$AA62*'FE Sectorial'!$H65*'FE Sectorial'!J65/1000/1000</f>
        <v>0</v>
      </c>
      <c r="J66" s="17">
        <f>'Datos Actividad'!$AA62*'FE Sectorial'!$H65*'FE Sectorial'!K65/1000/1000</f>
        <v>0</v>
      </c>
      <c r="K66" s="17">
        <f>'Datos Actividad'!$AA62*'FE Sectorial'!$H65*'FE Sectorial'!L65/1000/1000</f>
        <v>0</v>
      </c>
      <c r="L66" s="17">
        <f>'Datos Actividad'!$AA62*'FE Sectorial'!$H65*'FE Sectorial'!M65/1000/1000</f>
        <v>0</v>
      </c>
      <c r="M66" s="17">
        <f>'Datos Actividad'!$AA62*'FE Sectorial'!$H65*'FE Sectorial'!N65/1000/1000</f>
        <v>0</v>
      </c>
      <c r="N66" s="17">
        <f>'Datos Actividad'!$AA62*'FE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Actividad'!$AA63*'FE Sectorial'!$H66*'FE Sectorial'!I66*'FE Sectorial'!P66/1000</f>
        <v>2525708.0200000005</v>
      </c>
      <c r="I67" s="17">
        <f>'Datos Actividad'!$AA63*'FE Sectorial'!$H66*'FE Sectorial'!J66/1000/1000</f>
        <v>870.93380000000002</v>
      </c>
      <c r="J67" s="17">
        <f>'Datos Actividad'!$AA63*'FE Sectorial'!$H66*'FE Sectorial'!K66/1000/1000</f>
        <v>116.12450666666666</v>
      </c>
      <c r="K67" s="17">
        <f>'Datos Actividad'!$AA63*'FE Sectorial'!$H66*'FE Sectorial'!L66/1000/1000</f>
        <v>2903.1126666666669</v>
      </c>
      <c r="L67" s="17">
        <f>'Datos Actividad'!$AA63*'FE Sectorial'!$H66*'FE Sectorial'!M66/1000/1000</f>
        <v>116124.50666666667</v>
      </c>
      <c r="M67" s="17">
        <f>'Datos Actividad'!$AA63*'FE Sectorial'!$H66*'FE Sectorial'!N66/1000/1000</f>
        <v>1451.5563333333334</v>
      </c>
      <c r="N67" s="17">
        <f>'Datos Actividad'!$AA63*'FE Sectorial'!$H66*'FE Sectorial'!O66/1000/1000</f>
        <v>0</v>
      </c>
      <c r="O67" s="87">
        <f>IF(D67&lt;400,H67+I67*'Factores generales'!$M$41+J67*'Factores generales'!$N$41,I67*'Factores generales'!$M$41+J67*'Factores generales'!$N$41)</f>
        <v>54288.20686666666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Actividad'!$AA64*'FE Sectorial'!$H67*'FE Sectorial'!I67*'FE Sectorial'!P67/1000</f>
        <v>1916.6024347826092</v>
      </c>
      <c r="I68" s="17">
        <f>'Datos Actividad'!$AA64*'FE Sectorial'!$H67*'FE Sectorial'!J67/1000/1000</f>
        <v>0.59008695652173926</v>
      </c>
      <c r="J68" s="17">
        <f>'Datos Actividad'!$AA64*'FE Sectorial'!$H67*'FE Sectorial'!K67/1000/1000</f>
        <v>7.8678260869565239E-2</v>
      </c>
      <c r="K68" s="17">
        <f>'Datos Actividad'!$AA64*'FE Sectorial'!$H67*'FE Sectorial'!L67/1000/1000</f>
        <v>1.9669565217391309</v>
      </c>
      <c r="L68" s="17">
        <f>'Datos Actividad'!$AA64*'FE Sectorial'!$H67*'FE Sectorial'!M67/1000/1000</f>
        <v>39.339130434782618</v>
      </c>
      <c r="M68" s="17">
        <f>'Datos Actividad'!$AA64*'FE Sectorial'!$H67*'FE Sectorial'!N67/1000/1000</f>
        <v>0.98347826086956547</v>
      </c>
      <c r="N68" s="17">
        <f>'Datos Actividad'!$AA64*'FE Sectorial'!$H67*'FE Sectorial'!O67/1000/1000</f>
        <v>5.0434782608695663</v>
      </c>
      <c r="O68" s="87">
        <f>IF(D68&lt;400,H68+I68*'Factores generales'!$M$41+J68*'Factores generales'!$N$41,I68*'Factores generales'!$M$41+J68*'Factores generales'!$N$41)</f>
        <v>36.782086956521752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Actividad'!$AA65*'FE Sectorial'!$H68*'FE Sectorial'!I68*'FE Sectorial'!P68/1000</f>
        <v>671090.40078536223</v>
      </c>
      <c r="I69" s="17">
        <f>'Datos Actividad'!$AA65*'FE Sectorial'!$H68*'FE Sectorial'!J68/1000/1000</f>
        <v>231.41048302943526</v>
      </c>
      <c r="J69" s="17">
        <f>'Datos Actividad'!$AA65*'FE Sectorial'!$H68*'FE Sectorial'!K68/1000/1000</f>
        <v>30.854731070591367</v>
      </c>
      <c r="K69" s="17">
        <f>'Datos Actividad'!$AA65*'FE Sectorial'!$H68*'FE Sectorial'!L68/1000/1000</f>
        <v>771.36827676478424</v>
      </c>
      <c r="L69" s="17">
        <f>'Datos Actividad'!$AA65*'FE Sectorial'!$H68*'FE Sectorial'!M68/1000/1000</f>
        <v>30854.731070591366</v>
      </c>
      <c r="M69" s="17">
        <f>'Datos Actividad'!$AA65*'FE Sectorial'!$H68*'FE Sectorial'!N68/1000/1000</f>
        <v>385.68413838239212</v>
      </c>
      <c r="N69" s="17">
        <f>'Datos Actividad'!$AA65*'FE Sectorial'!$H68*'FE Sectorial'!O68/1000/1000</f>
        <v>0</v>
      </c>
      <c r="O69" s="87">
        <f>IF(D69&lt;400,H69+I69*'Factores generales'!$M$41+J69*'Factores generales'!$N$41,I69*'Factores generales'!$M$41+J69*'Factores generales'!$N$41)</f>
        <v>14424.586775501464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12711939.946422959</v>
      </c>
      <c r="I70" s="134">
        <f t="shared" si="16"/>
        <v>480.01304847023709</v>
      </c>
      <c r="J70" s="134">
        <f t="shared" si="16"/>
        <v>66.123146407822105</v>
      </c>
      <c r="K70" s="134">
        <f t="shared" si="16"/>
        <v>34793.04563218695</v>
      </c>
      <c r="L70" s="134">
        <f t="shared" si="16"/>
        <v>33783.002252969483</v>
      </c>
      <c r="M70" s="134">
        <f t="shared" si="16"/>
        <v>1454.2272185389697</v>
      </c>
      <c r="N70" s="134">
        <f t="shared" si="16"/>
        <v>5039.5366394449093</v>
      </c>
      <c r="O70" s="134">
        <f t="shared" si="16"/>
        <v>12742518.39582726</v>
      </c>
    </row>
    <row r="71" spans="1:15" outlineLevel="1" x14ac:dyDescent="0.25">
      <c r="B71" s="1" t="s">
        <v>36</v>
      </c>
      <c r="G71" s="1"/>
      <c r="H71" s="15">
        <f>H72+H73+H74+H76</f>
        <v>183605.4657748004</v>
      </c>
      <c r="I71" s="15">
        <f>SUM(I72:I76)</f>
        <v>1.9280337186146475</v>
      </c>
      <c r="J71" s="15">
        <f t="shared" ref="J71:O71" si="17">SUM(J72:J76)</f>
        <v>2.8920505779219718</v>
      </c>
      <c r="K71" s="15">
        <f t="shared" si="17"/>
        <v>578.41011558439413</v>
      </c>
      <c r="L71" s="15">
        <f t="shared" si="17"/>
        <v>289.20505779219707</v>
      </c>
      <c r="M71" s="15">
        <f t="shared" si="17"/>
        <v>38.560674372292944</v>
      </c>
      <c r="N71" s="15">
        <f t="shared" si="17"/>
        <v>208.23383138689107</v>
      </c>
      <c r="O71" s="15">
        <f t="shared" si="17"/>
        <v>184542.49016204709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Actividad'!$AA68*'FE Sectorial'!$H71*'FE Sectorial'!I71*'FE Sectorial'!P71/1000</f>
        <v>0</v>
      </c>
      <c r="I72" s="17">
        <f>'Datos Actividad'!$AA68*'FE Sectorial'!$H71*'FE Sectorial'!J71/1000/1000</f>
        <v>0</v>
      </c>
      <c r="J72" s="17">
        <f>'Datos Actividad'!$AA68*'FE Sectorial'!$H71*'FE Sectorial'!K71/1000/1000</f>
        <v>0</v>
      </c>
      <c r="K72" s="17">
        <f>'Datos Actividad'!$AA68*'FE Sectorial'!$H71*'FE Sectorial'!L71/1000/1000</f>
        <v>0</v>
      </c>
      <c r="L72" s="17">
        <f>'Datos Actividad'!$AA68*'FE Sectorial'!$H71*'FE Sectorial'!M71/1000/1000</f>
        <v>0</v>
      </c>
      <c r="M72" s="17">
        <f>'Datos Actividad'!$AA68*'FE Sectorial'!$H71*'FE Sectorial'!N71/1000/1000</f>
        <v>0</v>
      </c>
      <c r="N72" s="17">
        <f>'Datos Actividad'!$AA68*'FE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Actividad'!$AA69*'FE Sectorial'!$H72*'FE Sectorial'!I72*'FE Sectorial'!P72/1000</f>
        <v>0</v>
      </c>
      <c r="I73" s="17">
        <f>'Datos Actividad'!$AA69*'FE Sectorial'!$H72*'FE Sectorial'!J72/1000/1000</f>
        <v>0</v>
      </c>
      <c r="J73" s="17">
        <f>'Datos Actividad'!$AA69*'FE Sectorial'!$H72*'FE Sectorial'!K72/1000/1000</f>
        <v>0</v>
      </c>
      <c r="K73" s="17">
        <f>'Datos Actividad'!$AA69*'FE Sectorial'!$H72*'FE Sectorial'!L72/1000/1000</f>
        <v>0</v>
      </c>
      <c r="L73" s="17">
        <f>'Datos Actividad'!$AA69*'FE Sectorial'!$H72*'FE Sectorial'!M72/1000/1000</f>
        <v>0</v>
      </c>
      <c r="M73" s="17">
        <f>'Datos Actividad'!$AA69*'FE Sectorial'!$H72*'FE Sectorial'!N72/1000/1000</f>
        <v>0</v>
      </c>
      <c r="N73" s="17">
        <f>'Datos Actividad'!$AA69*'FE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Actividad'!$AA70*'FE Sectorial'!$H73*'FE Sectorial'!I73*'FE Sectorial'!P73/1000</f>
        <v>163440.78947368418</v>
      </c>
      <c r="I74" s="17">
        <f>'Datos Actividad'!$AA70*'FE Sectorial'!$H73*'FE Sectorial'!J73/1000/1000</f>
        <v>1.7105263157894737</v>
      </c>
      <c r="J74" s="17">
        <f>'Datos Actividad'!$AA70*'FE Sectorial'!$H73*'FE Sectorial'!K73/1000/1000</f>
        <v>2.5657894736842111</v>
      </c>
      <c r="K74" s="17">
        <f>'Datos Actividad'!$AA70*'FE Sectorial'!$H73*'FE Sectorial'!L73/1000/1000</f>
        <v>513.15789473684208</v>
      </c>
      <c r="L74" s="17">
        <f>'Datos Actividad'!$AA70*'FE Sectorial'!$H73*'FE Sectorial'!M73/1000/1000</f>
        <v>256.57894736842104</v>
      </c>
      <c r="M74" s="17">
        <f>'Datos Actividad'!$AA70*'FE Sectorial'!$H73*'FE Sectorial'!N73/1000/1000</f>
        <v>34.210526315789473</v>
      </c>
      <c r="N74" s="17">
        <f>'Datos Actividad'!$AA70*'FE Sectorial'!$H73*'FE Sectorial'!O73/1000/1000</f>
        <v>0</v>
      </c>
      <c r="O74" s="87">
        <f>IF(D74&lt;400,H74+I74*'Factores generales'!$M$41+J74*'Factores generales'!$N$41,I74*'Factores generales'!$M$41+J74*'Factores generales'!$N$41)</f>
        <v>164272.10526315786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Actividad'!$AA71*'FE Sectorial'!$H74*'FE Sectorial'!I74*'FE Sectorial'!P74/1000</f>
        <v>0</v>
      </c>
      <c r="I75" s="17">
        <f>'Datos Actividad'!$AA71*'FE Sectorial'!$H74*'FE Sectorial'!J74/1000/1000</f>
        <v>0</v>
      </c>
      <c r="J75" s="17">
        <f>'Datos Actividad'!$AA71*'FE Sectorial'!$H74*'FE Sectorial'!K74/1000/1000</f>
        <v>0</v>
      </c>
      <c r="K75" s="17">
        <f>'Datos Actividad'!$AA71*'FE Sectorial'!$H74*'FE Sectorial'!L74/1000/1000</f>
        <v>0</v>
      </c>
      <c r="L75" s="17">
        <f>'Datos Actividad'!$AA71*'FE Sectorial'!$H74*'FE Sectorial'!M74/1000/1000</f>
        <v>0</v>
      </c>
      <c r="M75" s="17">
        <f>'Datos Actividad'!$AA71*'FE Sectorial'!$H74*'FE Sectorial'!N74/1000/1000</f>
        <v>0</v>
      </c>
      <c r="N75" s="17">
        <f>'Datos Actividad'!$AA71*'FE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Actividad'!$AA72*'FE Sectorial'!$H75*'FE Sectorial'!I75*'FE Sectorial'!P75/1000</f>
        <v>20164.676301116197</v>
      </c>
      <c r="I76" s="17">
        <f>'Datos Actividad'!$AA72*'FE Sectorial'!$H75*'FE Sectorial'!J75/1000/1000</f>
        <v>0.21750740282517367</v>
      </c>
      <c r="J76" s="17">
        <f>'Datos Actividad'!$AA72*'FE Sectorial'!$H75*'FE Sectorial'!K75/1000/1000</f>
        <v>0.32626110423776056</v>
      </c>
      <c r="K76" s="17">
        <f>'Datos Actividad'!$AA72*'FE Sectorial'!$H75*'FE Sectorial'!L75/1000/1000</f>
        <v>65.252220847552096</v>
      </c>
      <c r="L76" s="17">
        <f>'Datos Actividad'!$AA72*'FE Sectorial'!$H75*'FE Sectorial'!M75/1000/1000</f>
        <v>32.626110423776048</v>
      </c>
      <c r="M76" s="17">
        <f>'Datos Actividad'!$AA72*'FE Sectorial'!$H75*'FE Sectorial'!N75/1000/1000</f>
        <v>4.3501480565034729</v>
      </c>
      <c r="N76" s="17">
        <f>'Datos Actividad'!$AA72*'FE Sectorial'!$H75*'FE Sectorial'!O75/1000/1000</f>
        <v>208.23383138689107</v>
      </c>
      <c r="O76" s="87">
        <f>IF(D76&lt;400,H76+I76*'Factores generales'!$M$41+J76*'Factores generales'!$N$41,I76*'Factores generales'!$M$41+J76*'Factores generales'!$N$41)</f>
        <v>20270.384898889231</v>
      </c>
    </row>
    <row r="77" spans="1:15" outlineLevel="1" x14ac:dyDescent="0.25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Actividad'!$AA74*'FE Sectorial'!$H77*'FE Sectorial'!I77*'FE Sectorial'!P77/1000</f>
        <v>0</v>
      </c>
      <c r="I78" s="17">
        <f>'Datos Actividad'!$AA74*'FE Sectorial'!$H77*'FE Sectorial'!J77/1000/1000</f>
        <v>0</v>
      </c>
      <c r="J78" s="17">
        <f>'Datos Actividad'!$AA74*'FE Sectorial'!$H77*'FE Sectorial'!K77/1000/1000</f>
        <v>0</v>
      </c>
      <c r="K78" s="17">
        <f>'Datos Actividad'!$AA74*'FE Sectorial'!$H77*'FE Sectorial'!L77/1000/1000</f>
        <v>0</v>
      </c>
      <c r="L78" s="17">
        <f>'Datos Actividad'!$AA74*'FE Sectorial'!$H77*'FE Sectorial'!M77/1000/1000</f>
        <v>0</v>
      </c>
      <c r="M78" s="17">
        <f>'Datos Actividad'!$AA74*'FE Sectorial'!$H77*'FE Sectorial'!N77/1000/1000</f>
        <v>0</v>
      </c>
      <c r="N78" s="17">
        <f>'Datos Actividad'!$AA74*'FE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Actividad'!$AA75*'FE Sectorial'!$H78*'FE Sectorial'!I78*'FE Sectorial'!P78/1000</f>
        <v>0</v>
      </c>
      <c r="I79" s="17">
        <f>'Datos Actividad'!$AA75*'FE Sectorial'!$H78*'FE Sectorial'!J78/1000/1000</f>
        <v>0</v>
      </c>
      <c r="J79" s="17">
        <f>'Datos Actividad'!$AA75*'FE Sectorial'!$H78*'FE Sectorial'!K78/1000/1000</f>
        <v>0</v>
      </c>
      <c r="K79" s="17">
        <f>'Datos Actividad'!$AA75*'FE Sectorial'!$H78*'FE Sectorial'!L78/1000/1000</f>
        <v>0</v>
      </c>
      <c r="L79" s="17">
        <f>'Datos Actividad'!$AA75*'FE Sectorial'!$H78*'FE Sectorial'!M78/1000/1000</f>
        <v>0</v>
      </c>
      <c r="M79" s="17">
        <f>'Datos Actividad'!$AA75*'FE Sectorial'!$H78*'FE Sectorial'!N78/1000/1000</f>
        <v>0</v>
      </c>
      <c r="N79" s="17">
        <f>'Datos Actividad'!$AA75*'FE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f>SUM(H81:H83)</f>
        <v>0</v>
      </c>
      <c r="I80" s="15">
        <f>SUM(I81:I85)</f>
        <v>206.53624359932127</v>
      </c>
      <c r="J80" s="15">
        <f t="shared" ref="J80:O80" si="19">SUM(J81:J85)</f>
        <v>27.538165813242834</v>
      </c>
      <c r="K80" s="15">
        <f t="shared" si="19"/>
        <v>688.45414533107089</v>
      </c>
      <c r="L80" s="15">
        <f t="shared" si="19"/>
        <v>27538.165813242831</v>
      </c>
      <c r="M80" s="15">
        <f t="shared" si="19"/>
        <v>344.22707266553545</v>
      </c>
      <c r="N80" s="15">
        <f t="shared" si="19"/>
        <v>0</v>
      </c>
      <c r="O80" s="15">
        <f t="shared" si="19"/>
        <v>12874.092517691026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Actividad'!$AA77*'FE Sectorial'!$H80*'FE Sectorial'!I80*'FE Sectorial'!P80/1000</f>
        <v>0</v>
      </c>
      <c r="I81" s="17">
        <f>'Datos Actividad'!$AA77*'FE Sectorial'!$H80*'FE Sectorial'!J80/1000/1000</f>
        <v>0</v>
      </c>
      <c r="J81" s="17">
        <f>'Datos Actividad'!$AA77*'FE Sectorial'!$H80*'FE Sectorial'!K80/1000/1000</f>
        <v>0</v>
      </c>
      <c r="K81" s="17">
        <f>'Datos Actividad'!$AA77*'FE Sectorial'!$H80*'FE Sectorial'!L80/1000/1000</f>
        <v>0</v>
      </c>
      <c r="L81" s="17">
        <f>'Datos Actividad'!$AA77*'FE Sectorial'!$H80*'FE Sectorial'!M80/1000/1000</f>
        <v>0</v>
      </c>
      <c r="M81" s="17">
        <f>'Datos Actividad'!$AA77*'FE Sectorial'!$H80*'FE Sectorial'!N80/1000/1000</f>
        <v>0</v>
      </c>
      <c r="N81" s="17">
        <f>'Datos Actividad'!$AA77*'FE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Actividad'!$AA78*'FE Sectorial'!$H81*'FE Sectorial'!I81*'FE Sectorial'!P81/1000</f>
        <v>0</v>
      </c>
      <c r="I82" s="17">
        <f>'Datos Actividad'!$AA78*'FE Sectorial'!$H81*'FE Sectorial'!J81/1000/1000</f>
        <v>0</v>
      </c>
      <c r="J82" s="17">
        <f>'Datos Actividad'!$AA78*'FE Sectorial'!$H81*'FE Sectorial'!K81/1000/1000</f>
        <v>0</v>
      </c>
      <c r="K82" s="17">
        <f>'Datos Actividad'!$AA78*'FE Sectorial'!$H81*'FE Sectorial'!L81/1000/1000</f>
        <v>0</v>
      </c>
      <c r="L82" s="17">
        <f>'Datos Actividad'!$AA78*'FE Sectorial'!$H81*'FE Sectorial'!M81/1000/1000</f>
        <v>0</v>
      </c>
      <c r="M82" s="17">
        <f>'Datos Actividad'!$AA78*'FE Sectorial'!$H81*'FE Sectorial'!N81/1000/1000</f>
        <v>0</v>
      </c>
      <c r="N82" s="17">
        <f>'Datos Actividad'!$AA78*'FE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Actividad'!$AA79*'FE Sectorial'!$H82*'FE Sectorial'!I82*'FE Sectorial'!P82/1000</f>
        <v>0</v>
      </c>
      <c r="I83" s="95">
        <f>'Datos Actividad'!$AA79*'FE Sectorial'!$H82*'FE Sectorial'!J82/1000/1000</f>
        <v>0</v>
      </c>
      <c r="J83" s="17">
        <f>'Datos Actividad'!$AA79*'FE Sectorial'!$H82*'FE Sectorial'!K82/1000/1000</f>
        <v>0</v>
      </c>
      <c r="K83" s="17">
        <f>'Datos Actividad'!$AA79*'FE Sectorial'!$H82*'FE Sectorial'!L82/1000/1000</f>
        <v>0</v>
      </c>
      <c r="L83" s="17">
        <f>'Datos Actividad'!$AA79*'FE Sectorial'!$H82*'FE Sectorial'!M82/1000/1000</f>
        <v>0</v>
      </c>
      <c r="M83" s="17">
        <f>'Datos Actividad'!$AA79*'FE Sectorial'!$H82*'FE Sectorial'!N82/1000/1000</f>
        <v>0</v>
      </c>
      <c r="N83" s="17">
        <f>'Datos Actividad'!$AA79*'FE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Actividad'!$AA80*'FE Sectorial'!$H83*'FE Sectorial'!I83*'FE Sectorial'!P83/1000</f>
        <v>0</v>
      </c>
      <c r="I84" s="95">
        <f>'Datos Actividad'!$AA80*'FE Sectorial'!$H83*'FE Sectorial'!J83/1000/1000</f>
        <v>0</v>
      </c>
      <c r="J84" s="17">
        <f>'Datos Actividad'!$AA80*'FE Sectorial'!$H83*'FE Sectorial'!K83/1000/1000</f>
        <v>0</v>
      </c>
      <c r="K84" s="17">
        <f>'Datos Actividad'!$AA80*'FE Sectorial'!$H83*'FE Sectorial'!L83/1000/1000</f>
        <v>0</v>
      </c>
      <c r="L84" s="17">
        <f>'Datos Actividad'!$AA80*'FE Sectorial'!$H83*'FE Sectorial'!M83/1000/1000</f>
        <v>0</v>
      </c>
      <c r="M84" s="17">
        <f>'Datos Actividad'!$AA80*'FE Sectorial'!$H83*'FE Sectorial'!N83/1000/1000</f>
        <v>0</v>
      </c>
      <c r="N84" s="17">
        <f>'Datos Actividad'!$AA80*'FE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Actividad'!$AA81*'FE Sectorial'!$H84*'FE Sectorial'!I84*'FE Sectorial'!P84/1000</f>
        <v>598955.10643803165</v>
      </c>
      <c r="I85" s="95">
        <f>'Datos Actividad'!$AA81*'FE Sectorial'!$H84*'FE Sectorial'!J84/1000/1000</f>
        <v>206.53624359932127</v>
      </c>
      <c r="J85" s="17">
        <f>'Datos Actividad'!$AA81*'FE Sectorial'!$H84*'FE Sectorial'!K84/1000/1000</f>
        <v>27.538165813242834</v>
      </c>
      <c r="K85" s="17">
        <f>'Datos Actividad'!$AA81*'FE Sectorial'!$H84*'FE Sectorial'!L84/1000/1000</f>
        <v>688.45414533107089</v>
      </c>
      <c r="L85" s="17">
        <f>'Datos Actividad'!$AA81*'FE Sectorial'!$H84*'FE Sectorial'!M84/1000/1000</f>
        <v>27538.165813242831</v>
      </c>
      <c r="M85" s="17">
        <f>'Datos Actividad'!$AA81*'FE Sectorial'!$H84*'FE Sectorial'!N84/1000/1000</f>
        <v>344.22707266553545</v>
      </c>
      <c r="N85" s="17">
        <f>'Datos Actividad'!$AA81*'FE Sectorial'!$H84*'FE Sectorial'!O84/1000/1000</f>
        <v>0</v>
      </c>
      <c r="O85" s="87">
        <f>IF(D85&lt;400,H85+I85*'Factores generales'!$M$41+J85*'Factores generales'!$N$41,I85*'Factores generales'!$M$41+J85*'Factores generales'!$N$41)</f>
        <v>12874.092517691026</v>
      </c>
    </row>
    <row r="86" spans="2:15" outlineLevel="1" x14ac:dyDescent="0.25">
      <c r="B86" s="1" t="s">
        <v>38</v>
      </c>
      <c r="G86" s="1"/>
      <c r="H86" s="15">
        <f>H87+H88</f>
        <v>0</v>
      </c>
      <c r="I86" s="15">
        <f>I87+I88+I89</f>
        <v>0.76617939575644267</v>
      </c>
      <c r="J86" s="15">
        <f t="shared" ref="J86:O86" si="20">J87+J88+J89</f>
        <v>0.10215725276752569</v>
      </c>
      <c r="K86" s="15">
        <f t="shared" si="20"/>
        <v>2.5539313191881421</v>
      </c>
      <c r="L86" s="15">
        <f t="shared" si="20"/>
        <v>102.15725276752569</v>
      </c>
      <c r="M86" s="15">
        <f t="shared" si="20"/>
        <v>1.276965659594071</v>
      </c>
      <c r="N86" s="15">
        <f t="shared" si="20"/>
        <v>0</v>
      </c>
      <c r="O86" s="15">
        <f t="shared" si="20"/>
        <v>47.758515668818262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Actividad'!$AA83*'FE Sectorial'!$H86*'FE Sectorial'!I86*'FE Sectorial'!P86/1000</f>
        <v>0</v>
      </c>
      <c r="I87" s="17">
        <f>'Datos Actividad'!$AA83*'FE Sectorial'!$H86*'FE Sectorial'!J86/1000/1000</f>
        <v>0</v>
      </c>
      <c r="J87" s="17">
        <f>'Datos Actividad'!$AA83*'FE Sectorial'!$H86*'FE Sectorial'!K86/1000/1000</f>
        <v>0</v>
      </c>
      <c r="K87" s="17">
        <f>'Datos Actividad'!$AA83*'FE Sectorial'!$H86*'FE Sectorial'!L86/1000/1000</f>
        <v>0</v>
      </c>
      <c r="L87" s="17">
        <f>'Datos Actividad'!$AA83*'FE Sectorial'!$H86*'FE Sectorial'!M86/1000/1000</f>
        <v>0</v>
      </c>
      <c r="M87" s="17">
        <f>'Datos Actividad'!$AA83*'FE Sectorial'!$H86*'FE Sectorial'!N86/1000/1000</f>
        <v>0</v>
      </c>
      <c r="N87" s="17">
        <f>'Datos Actividad'!$AA83*'FE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Actividad'!$AA84*'FE Sectorial'!$H87*'FE Sectorial'!I87*'FE Sectorial'!P87/1000</f>
        <v>0</v>
      </c>
      <c r="I88" s="17">
        <f>'Datos Actividad'!$AA84*'FE Sectorial'!$H87*'FE Sectorial'!J87/1000/1000</f>
        <v>0</v>
      </c>
      <c r="J88" s="17">
        <f>'Datos Actividad'!$AA84*'FE Sectorial'!$H87*'FE Sectorial'!K87/1000/1000</f>
        <v>0</v>
      </c>
      <c r="K88" s="17">
        <f>'Datos Actividad'!$AA84*'FE Sectorial'!$H87*'FE Sectorial'!L87/1000/1000</f>
        <v>0</v>
      </c>
      <c r="L88" s="17">
        <f>'Datos Actividad'!$AA84*'FE Sectorial'!$H87*'FE Sectorial'!M87/1000/1000</f>
        <v>0</v>
      </c>
      <c r="M88" s="17">
        <f>'Datos Actividad'!$AA84*'FE Sectorial'!$H87*'FE Sectorial'!N87/1000/1000</f>
        <v>0</v>
      </c>
      <c r="N88" s="17">
        <f>'Datos Actividad'!$AA84*'FE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Actividad'!$AA85*'FE Sectorial'!$H88*'FE Sectorial'!I88*'FE Sectorial'!P88/1000</f>
        <v>2221.9202476936835</v>
      </c>
      <c r="I89" s="95">
        <f>'Datos Actividad'!$AA85*'FE Sectorial'!$H88*'FE Sectorial'!J88/1000/1000</f>
        <v>0.76617939575644267</v>
      </c>
      <c r="J89" s="17">
        <f>'Datos Actividad'!$AA85*'FE Sectorial'!$H88*'FE Sectorial'!K88/1000/1000</f>
        <v>0.10215725276752569</v>
      </c>
      <c r="K89" s="17">
        <f>'Datos Actividad'!$AA85*'FE Sectorial'!$H88*'FE Sectorial'!L88/1000/1000</f>
        <v>2.5539313191881421</v>
      </c>
      <c r="L89" s="17">
        <f>'Datos Actividad'!$AA85*'FE Sectorial'!$H88*'FE Sectorial'!M88/1000/1000</f>
        <v>102.15725276752569</v>
      </c>
      <c r="M89" s="17">
        <f>'Datos Actividad'!$AA85*'FE Sectorial'!$H88*'FE Sectorial'!N88/1000/1000</f>
        <v>1.276965659594071</v>
      </c>
      <c r="N89" s="17">
        <f>'Datos Actividad'!$AA85*'FE Sectorial'!$H88*'FE Sectorial'!O88/1000/1000</f>
        <v>0</v>
      </c>
      <c r="O89" s="87">
        <f>IF(D89&lt;400,H89+I89*'Factores generales'!$M$41+J89*'Factores generales'!$N$41,I89*'Factores generales'!$M$41+J89*'Factores generales'!$N$41)</f>
        <v>47.758515668818262</v>
      </c>
    </row>
    <row r="90" spans="2:15" outlineLevel="1" x14ac:dyDescent="0.25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Actividad'!$AA87*'FE Sectorial'!$H90*'FE Sectorial'!I90*'FE Sectorial'!P90/1000</f>
        <v>0</v>
      </c>
      <c r="I91" s="17">
        <f>'Datos Actividad'!$AA87*'FE Sectorial'!$H90*'FE Sectorial'!J90/1000/1000</f>
        <v>0</v>
      </c>
      <c r="J91" s="17">
        <f>'Datos Actividad'!$AA87*'FE Sectorial'!$H90*'FE Sectorial'!K90/1000/1000</f>
        <v>0</v>
      </c>
      <c r="K91" s="17">
        <f>'Datos Actividad'!$AA87*'FE Sectorial'!$H90*'FE Sectorial'!L90/1000/1000</f>
        <v>0</v>
      </c>
      <c r="L91" s="17">
        <f>'Datos Actividad'!$AA87*'FE Sectorial'!$H90*'FE Sectorial'!M90/1000/1000</f>
        <v>0</v>
      </c>
      <c r="M91" s="17">
        <f>'Datos Actividad'!$AA87*'FE Sectorial'!$H90*'FE Sectorial'!N90/1000/1000</f>
        <v>0</v>
      </c>
      <c r="N91" s="17">
        <f>'Datos Actividad'!$AA87*'FE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Actividad'!$AA88*'FE Sectorial'!$H91*'FE Sectorial'!I91*'FE Sectorial'!P91/1000</f>
        <v>0</v>
      </c>
      <c r="I92" s="17">
        <f>'Datos Actividad'!$AA88*'FE Sectorial'!$H91*'FE Sectorial'!J91/1000/1000</f>
        <v>0</v>
      </c>
      <c r="J92" s="17">
        <f>'Datos Actividad'!$AA88*'FE Sectorial'!$H91*'FE Sectorial'!K91/1000/1000</f>
        <v>0</v>
      </c>
      <c r="K92" s="17">
        <f>'Datos Actividad'!$AA88*'FE Sectorial'!$H91*'FE Sectorial'!L91/1000/1000</f>
        <v>0</v>
      </c>
      <c r="L92" s="17">
        <f>'Datos Actividad'!$AA88*'FE Sectorial'!$H91*'FE Sectorial'!M91/1000/1000</f>
        <v>0</v>
      </c>
      <c r="M92" s="17">
        <f>'Datos Actividad'!$AA88*'FE Sectorial'!$H91*'FE Sectorial'!N91/1000/1000</f>
        <v>0</v>
      </c>
      <c r="N92" s="17">
        <f>'Datos Actividad'!$AA88*'FE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Actividad'!$AA89*'FE Sectorial'!$H92*'FE Sectorial'!I92*'FE Sectorial'!P92/1000</f>
        <v>0</v>
      </c>
      <c r="I93" s="17">
        <f>'Datos Actividad'!$AA89*'FE Sectorial'!$H92*'FE Sectorial'!J92/1000/1000</f>
        <v>0</v>
      </c>
      <c r="J93" s="17">
        <f>'Datos Actividad'!$AA89*'FE Sectorial'!$H92*'FE Sectorial'!K92/1000/1000</f>
        <v>0</v>
      </c>
      <c r="K93" s="17">
        <f>'Datos Actividad'!$AA89*'FE Sectorial'!$H92*'FE Sectorial'!L92/1000/1000</f>
        <v>0</v>
      </c>
      <c r="L93" s="17">
        <f>'Datos Actividad'!$AA89*'FE Sectorial'!$H92*'FE Sectorial'!M92/1000/1000</f>
        <v>0</v>
      </c>
      <c r="M93" s="17">
        <f>'Datos Actividad'!$AA89*'FE Sectorial'!$H92*'FE Sectorial'!N92/1000/1000</f>
        <v>0</v>
      </c>
      <c r="N93" s="17">
        <f>'Datos Actividad'!$AA89*'FE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12528334.480648158</v>
      </c>
      <c r="I94" s="15">
        <f t="shared" ref="I94:O94" si="22">SUM(I95:I100)</f>
        <v>270.78259175654478</v>
      </c>
      <c r="J94" s="15">
        <f t="shared" si="22"/>
        <v>35.590772763889774</v>
      </c>
      <c r="K94" s="15">
        <f t="shared" si="22"/>
        <v>33523.627439952295</v>
      </c>
      <c r="L94" s="15">
        <f t="shared" si="22"/>
        <v>5853.4741291669307</v>
      </c>
      <c r="M94" s="15">
        <f t="shared" si="22"/>
        <v>1070.1625058415473</v>
      </c>
      <c r="N94" s="15">
        <f t="shared" si="22"/>
        <v>4831.3028080580179</v>
      </c>
      <c r="O94" s="15">
        <f t="shared" si="22"/>
        <v>12545054.054631853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Actividad'!$AA91*'FE Sectorial'!$H94*'FE Sectorial'!I94*'FE Sectorial'!P94/1000</f>
        <v>10306594.969610544</v>
      </c>
      <c r="I95" s="17">
        <f>'Datos Actividad'!$AA91*'FE Sectorial'!$H94*'FE Sectorial'!J94/1000/1000</f>
        <v>184.64147779199999</v>
      </c>
      <c r="J95" s="17">
        <f>'Datos Actividad'!$AA91*'FE Sectorial'!$H94*'FE Sectorial'!K94/1000/1000</f>
        <v>18.464147779200001</v>
      </c>
      <c r="K95" s="17">
        <f>'Datos Actividad'!$AA91*'FE Sectorial'!$H94*'FE Sectorial'!L94/1000/1000</f>
        <v>27696.221668800001</v>
      </c>
      <c r="L95" s="17">
        <f>'Datos Actividad'!$AA91*'FE Sectorial'!$H94*'FE Sectorial'!M94/1000/1000</f>
        <v>5539.2443337599998</v>
      </c>
      <c r="M95" s="17">
        <f>'Datos Actividad'!$AA91*'FE Sectorial'!$H94*'FE Sectorial'!N94/1000/1000</f>
        <v>923.20738896</v>
      </c>
      <c r="N95" s="17">
        <f>'Datos Actividad'!$AA91*'FE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10316196.326455729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Actividad'!$AA92*'FE Sectorial'!$H95*'FE Sectorial'!I95*'FE Sectorial'!P95/1000</f>
        <v>63467.134816438374</v>
      </c>
      <c r="I96" s="17">
        <f>'Datos Actividad'!$AA92*'FE Sectorial'!$H95*'FE Sectorial'!J95/1000/1000</f>
        <v>1.0159780821917812</v>
      </c>
      <c r="J96" s="17">
        <f>'Datos Actividad'!$AA92*'FE Sectorial'!$H95*'FE Sectorial'!K95/1000/1000</f>
        <v>0.10159780821917812</v>
      </c>
      <c r="K96" s="17">
        <f>'Datos Actividad'!$AA92*'FE Sectorial'!$H95*'FE Sectorial'!L95/1000/1000</f>
        <v>152.39671232876717</v>
      </c>
      <c r="L96" s="17">
        <f>'Datos Actividad'!$AA92*'FE Sectorial'!$H95*'FE Sectorial'!M95/1000/1000</f>
        <v>30.479342465753437</v>
      </c>
      <c r="M96" s="17">
        <f>'Datos Actividad'!$AA92*'FE Sectorial'!$H95*'FE Sectorial'!N95/1000/1000</f>
        <v>5.0798904109589058</v>
      </c>
      <c r="N96" s="17">
        <f>'Datos Actividad'!$AA92*'FE Sectorial'!$H95*'FE Sectorial'!O95/1000/1000</f>
        <v>4.2958904109589069</v>
      </c>
      <c r="O96" s="87">
        <f>IF(D96&lt;400,H96+I96*'Factores generales'!$M$41+J96*'Factores generales'!$N$41,I96*'Factores generales'!$M$41+J96*'Factores generales'!$N$41)</f>
        <v>63519.965676712345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Actividad'!$AA93*'FE Sectorial'!$H96*'FE Sectorial'!I96*'FE Sectorial'!P96/1000</f>
        <v>359134.50800117676</v>
      </c>
      <c r="I97" s="17">
        <f>'Datos Actividad'!$AA93*'FE Sectorial'!$H96*'FE Sectorial'!J96/1000/1000</f>
        <v>14.686725882352953</v>
      </c>
      <c r="J97" s="17">
        <f>'Datos Actividad'!$AA93*'FE Sectorial'!$H96*'FE Sectorial'!K96/1000/1000</f>
        <v>2.9373451764705902</v>
      </c>
      <c r="K97" s="17">
        <f>'Datos Actividad'!$AA93*'FE Sectorial'!$H96*'FE Sectorial'!L96/1000/1000</f>
        <v>979.11505882353026</v>
      </c>
      <c r="L97" s="17">
        <f>'Datos Actividad'!$AA93*'FE Sectorial'!$H96*'FE Sectorial'!M96/1000/1000</f>
        <v>48.955752941176513</v>
      </c>
      <c r="M97" s="17">
        <f>'Datos Actividad'!$AA93*'FE Sectorial'!$H96*'FE Sectorial'!N96/1000/1000</f>
        <v>24.477876470588257</v>
      </c>
      <c r="N97" s="17">
        <f>'Datos Actividad'!$AA93*'FE Sectorial'!$H96*'FE Sectorial'!O96/1000/1000</f>
        <v>177.60691764705896</v>
      </c>
      <c r="O97" s="87">
        <f>IF(D97&lt;400,H97+I97*'Factores generales'!$M$41+J97*'Factores generales'!$N$41,I97*'Factores generales'!$M$41+J97*'Factores generales'!$N$41)</f>
        <v>360353.50624941208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Actividad'!$AA94*'FE Sectorial'!$H97*'FE Sectorial'!I97*'FE Sectorial'!P97/1000</f>
        <v>1799137.8682200003</v>
      </c>
      <c r="I98" s="17">
        <f>'Datos Actividad'!$AA94*'FE Sectorial'!$H97*'FE Sectorial'!J97/1000/1000</f>
        <v>70.438410000000005</v>
      </c>
      <c r="J98" s="17">
        <f>'Datos Actividad'!$AA94*'FE Sectorial'!$H97*'FE Sectorial'!K97/1000/1000</f>
        <v>14.087682000000001</v>
      </c>
      <c r="K98" s="17">
        <f>'Datos Actividad'!$AA94*'FE Sectorial'!$H97*'FE Sectorial'!L97/1000/1000</f>
        <v>4695.8940000000002</v>
      </c>
      <c r="L98" s="17">
        <f>'Datos Actividad'!$AA94*'FE Sectorial'!$H97*'FE Sectorial'!M97/1000/1000</f>
        <v>234.79470000000001</v>
      </c>
      <c r="M98" s="17">
        <f>'Datos Actividad'!$AA94*'FE Sectorial'!$H97*'FE Sectorial'!N97/1000/1000</f>
        <v>117.39735</v>
      </c>
      <c r="N98" s="17">
        <f>'Datos Actividad'!$AA94*'FE Sectorial'!$H97*'FE Sectorial'!O97/1000/1000</f>
        <v>4649.3999999999996</v>
      </c>
      <c r="O98" s="87">
        <f>IF(D98&lt;400,H98+I98*'Factores generales'!$M$41+J98*'Factores generales'!$N$41,I98*'Factores generales'!$M$41+J98*'Factores generales'!$N$41)</f>
        <v>1804984.2562500003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Actividad'!$AA95*'FE Sectorial'!$H98*'FE Sectorial'!I98*'FE Sectorial'!P98/1000</f>
        <v>0</v>
      </c>
      <c r="I99" s="17">
        <f>'Datos Actividad'!$AA95*'FE Sectorial'!$H98*'FE Sectorial'!J98/1000/1000</f>
        <v>0</v>
      </c>
      <c r="J99" s="17">
        <f>'Datos Actividad'!$AA95*'FE Sectorial'!$H98*'FE Sectorial'!K98/1000/1000</f>
        <v>0</v>
      </c>
      <c r="K99" s="17">
        <f>'Datos Actividad'!$AA95*'FE Sectorial'!$H98*'FE Sectorial'!L98/1000/1000</f>
        <v>0</v>
      </c>
      <c r="L99" s="17">
        <f>'Datos Actividad'!$AA95*'FE Sectorial'!$H98*'FE Sectorial'!M98/1000/1000</f>
        <v>0</v>
      </c>
      <c r="M99" s="17">
        <f>'Datos Actividad'!$AA95*'FE Sectorial'!$H98*'FE Sectorial'!N98/1000/1000</f>
        <v>0</v>
      </c>
      <c r="N99" s="17">
        <f>'Datos Actividad'!$AA95*'FE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Actividad'!$AA96*'FE Sectorial'!$H99*'FE Sectorial'!I99*'FE Sectorial'!P99/1000</f>
        <v>0</v>
      </c>
      <c r="I100" s="17">
        <f>'Datos Actividad'!$AA96*'FE Sectorial'!$H99*'FE Sectorial'!J99/1000/1000</f>
        <v>0</v>
      </c>
      <c r="J100" s="17">
        <f>'Datos Actividad'!$AA96*'FE Sectorial'!$H99*'FE Sectorial'!K99/1000/1000</f>
        <v>0</v>
      </c>
      <c r="K100" s="17">
        <f>'Datos Actividad'!$AA96*'FE Sectorial'!$H99*'FE Sectorial'!L99/1000/1000</f>
        <v>0</v>
      </c>
      <c r="L100" s="17">
        <f>'Datos Actividad'!$AA96*'FE Sectorial'!$H99*'FE Sectorial'!M99/1000/1000</f>
        <v>0</v>
      </c>
      <c r="M100" s="17">
        <f>'Datos Actividad'!$AA96*'FE Sectorial'!$H99*'FE Sectorial'!N99/1000/1000</f>
        <v>0</v>
      </c>
      <c r="N100" s="17">
        <f>'Datos Actividad'!$AA96*'FE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28577827.086204227</v>
      </c>
      <c r="I101" s="129">
        <f t="shared" si="23"/>
        <v>6220.9972054179943</v>
      </c>
      <c r="J101" s="129">
        <f t="shared" si="23"/>
        <v>2430.5011481506249</v>
      </c>
      <c r="K101" s="129">
        <f t="shared" si="23"/>
        <v>271387.3067776119</v>
      </c>
      <c r="L101" s="129">
        <f t="shared" si="23"/>
        <v>1718071.1795665519</v>
      </c>
      <c r="M101" s="129">
        <f t="shared" si="23"/>
        <v>324157.01452056679</v>
      </c>
      <c r="N101" s="129">
        <f t="shared" si="23"/>
        <v>7851.5762258251343</v>
      </c>
      <c r="O101" s="129">
        <f t="shared" si="23"/>
        <v>29461923.3834447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692073.94727385254</v>
      </c>
      <c r="I102" s="134">
        <f t="shared" ref="I102:O102" si="24">I105</f>
        <v>4.888563588852529</v>
      </c>
      <c r="J102" s="134">
        <f t="shared" si="24"/>
        <v>19.554254355410116</v>
      </c>
      <c r="K102" s="134">
        <f t="shared" si="24"/>
        <v>2444.2817944262647</v>
      </c>
      <c r="L102" s="134">
        <f t="shared" si="24"/>
        <v>977.71271777050595</v>
      </c>
      <c r="M102" s="134">
        <f t="shared" si="24"/>
        <v>488.85635888525297</v>
      </c>
      <c r="N102" s="134">
        <f t="shared" si="24"/>
        <v>443.40712824059227</v>
      </c>
      <c r="O102" s="134">
        <f t="shared" si="24"/>
        <v>698238.42595939559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1343298.2944444977</v>
      </c>
      <c r="I103" s="15">
        <f t="shared" ref="I103:O103" si="25">I104</f>
        <v>9.4885801684290296</v>
      </c>
      <c r="J103" s="15">
        <f t="shared" si="25"/>
        <v>37.954320673716119</v>
      </c>
      <c r="K103" s="15">
        <f t="shared" si="25"/>
        <v>4744.2900842145145</v>
      </c>
      <c r="L103" s="15">
        <f t="shared" si="25"/>
        <v>1897.7160336858055</v>
      </c>
      <c r="M103" s="15">
        <f t="shared" si="25"/>
        <v>948.85801684290277</v>
      </c>
      <c r="N103" s="15">
        <f t="shared" si="25"/>
        <v>860.64219214775767</v>
      </c>
      <c r="O103" s="15">
        <f t="shared" si="25"/>
        <v>1355263.3940368865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Actividad'!$AA100*'FE Sectorial'!$H103*'FE Sectorial'!I103*'FE Sectorial'!P103/1000</f>
        <v>1343298.2944444977</v>
      </c>
      <c r="I104" s="17">
        <f>'Datos Actividad'!$AA100*'FE Sectorial'!$H103*'FE Sectorial'!J103/1000/1000</f>
        <v>9.4885801684290296</v>
      </c>
      <c r="J104" s="17">
        <f>'Datos Actividad'!$AA100*'FE Sectorial'!$H103*'FE Sectorial'!K103/1000/1000</f>
        <v>37.954320673716119</v>
      </c>
      <c r="K104" s="17">
        <f>'Datos Actividad'!$AA100*'FE Sectorial'!$H103*'FE Sectorial'!L103/1000/1000</f>
        <v>4744.2900842145145</v>
      </c>
      <c r="L104" s="17">
        <f>'Datos Actividad'!$AA100*'FE Sectorial'!$H103*'FE Sectorial'!M103/1000/1000</f>
        <v>1897.7160336858055</v>
      </c>
      <c r="M104" s="17">
        <f>'Datos Actividad'!$AA100*'FE Sectorial'!$H103*'FE Sectorial'!N103/1000/1000</f>
        <v>948.85801684290277</v>
      </c>
      <c r="N104" s="17">
        <f>'Datos Actividad'!$AA100*'FE Sectorial'!$H103*'FE Sectorial'!O103/1000/1000</f>
        <v>860.64219214775767</v>
      </c>
      <c r="O104" s="87">
        <f>IF(D104&lt;400,H104+I104*'Factores generales'!$M$41+J104*'Factores generales'!$N$41,I104*'Factores generales'!$M$41+J104*'Factores generales'!$N$41)</f>
        <v>1355263.3940368865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692073.94727385254</v>
      </c>
      <c r="I105" s="15">
        <f t="shared" ref="I105:O105" si="26">I106</f>
        <v>4.888563588852529</v>
      </c>
      <c r="J105" s="15">
        <f t="shared" si="26"/>
        <v>19.554254355410116</v>
      </c>
      <c r="K105" s="15">
        <f t="shared" si="26"/>
        <v>2444.2817944262647</v>
      </c>
      <c r="L105" s="15">
        <f t="shared" si="26"/>
        <v>977.71271777050595</v>
      </c>
      <c r="M105" s="15">
        <f t="shared" si="26"/>
        <v>488.85635888525297</v>
      </c>
      <c r="N105" s="15">
        <f t="shared" si="26"/>
        <v>443.40712824059227</v>
      </c>
      <c r="O105" s="15">
        <f t="shared" si="26"/>
        <v>698238.42595939559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Actividad'!$AA102*'FE Sectorial'!$H105*'FE Sectorial'!I105*'FE Sectorial'!P105/1000</f>
        <v>692073.94727385254</v>
      </c>
      <c r="I106" s="17">
        <f>'Datos Actividad'!$AA102*'FE Sectorial'!$H105*'FE Sectorial'!J105/1000/1000</f>
        <v>4.888563588852529</v>
      </c>
      <c r="J106" s="17">
        <f>'Datos Actividad'!$AA102*'FE Sectorial'!$H105*'FE Sectorial'!K105/1000/1000</f>
        <v>19.554254355410116</v>
      </c>
      <c r="K106" s="17">
        <f>'Datos Actividad'!$AA102*'FE Sectorial'!$H105*'FE Sectorial'!L105/1000/1000</f>
        <v>2444.2817944262647</v>
      </c>
      <c r="L106" s="17">
        <f>'Datos Actividad'!$AA102*'FE Sectorial'!$H105*'FE Sectorial'!M105/1000/1000</f>
        <v>977.71271777050595</v>
      </c>
      <c r="M106" s="17">
        <f>'Datos Actividad'!$AA102*'FE Sectorial'!$H105*'FE Sectorial'!N105/1000/1000</f>
        <v>488.85635888525297</v>
      </c>
      <c r="N106" s="17">
        <f>'Datos Actividad'!$AA102*'FE Sectorial'!$H105*'FE Sectorial'!O105/1000/1000</f>
        <v>443.40712824059227</v>
      </c>
      <c r="O106" s="87">
        <f>IF(D106&lt;400,H106+I106*'Factores generales'!$M$41+J106*'Factores generales'!$N$41,I106*'Factores generales'!$M$41+J106*'Factores generales'!$N$41)</f>
        <v>698238.42595939559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25921910.938650835</v>
      </c>
      <c r="I107" s="134">
        <f t="shared" si="27"/>
        <v>6149.5248317827636</v>
      </c>
      <c r="J107" s="134">
        <f t="shared" si="27"/>
        <v>2214.4794100441759</v>
      </c>
      <c r="K107" s="134">
        <f t="shared" si="27"/>
        <v>254154.79645260991</v>
      </c>
      <c r="L107" s="134">
        <f t="shared" si="27"/>
        <v>1707790.8970397371</v>
      </c>
      <c r="M107" s="134">
        <f t="shared" si="27"/>
        <v>321784.06972724979</v>
      </c>
      <c r="N107" s="134">
        <f t="shared" si="27"/>
        <v>6961.3410413647189</v>
      </c>
      <c r="O107" s="134">
        <f t="shared" si="27"/>
        <v>26737539.577231966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23942267.087867141</v>
      </c>
      <c r="I108" s="15">
        <f t="shared" ref="I108:O108" si="28">I109+I110+I111+I112+I113</f>
        <v>6044.2806079239817</v>
      </c>
      <c r="J108" s="15">
        <f t="shared" si="28"/>
        <v>2109.2351861853936</v>
      </c>
      <c r="K108" s="15">
        <f t="shared" si="28"/>
        <v>232566.23771234689</v>
      </c>
      <c r="L108" s="15">
        <f t="shared" si="28"/>
        <v>1680805.1986144083</v>
      </c>
      <c r="M108" s="15">
        <f t="shared" si="28"/>
        <v>316386.93004218402</v>
      </c>
      <c r="N108" s="15">
        <f t="shared" si="28"/>
        <v>5982.3250054690707</v>
      </c>
      <c r="O108" s="15">
        <f t="shared" si="28"/>
        <v>24723059.888351016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Actividad'!$AA105*'FE Sectorial'!$H108*'FE Sectorial'!I108*'FE Sectorial'!P108/1000</f>
        <v>419796.88280719204</v>
      </c>
      <c r="I109" s="17">
        <f>'Datos Actividad'!$AA105*'FE Sectorial'!$H108*'FE Sectorial'!J108/1000/1000</f>
        <v>691.89643795200004</v>
      </c>
      <c r="J109" s="17">
        <f>'Datos Actividad'!$AA105*'FE Sectorial'!$H108*'FE Sectorial'!K108/1000/1000</f>
        <v>22.561840368000002</v>
      </c>
      <c r="K109" s="17">
        <f>'Datos Actividad'!$AA105*'FE Sectorial'!$H108*'FE Sectorial'!L108/1000/1000</f>
        <v>4512.3680736000006</v>
      </c>
      <c r="L109" s="17">
        <f>'Datos Actividad'!$AA105*'FE Sectorial'!$H108*'FE Sectorial'!M108/1000/1000</f>
        <v>3008.2453823999999</v>
      </c>
      <c r="M109" s="17">
        <f>'Datos Actividad'!$AA105*'FE Sectorial'!$H108*'FE Sectorial'!N108/1000/1000</f>
        <v>37.603067280000005</v>
      </c>
      <c r="N109" s="17">
        <f>'Datos Actividad'!$AA105*'FE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441320.87851826404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Actividad'!$AA106*'FE Sectorial'!$H109*'FE Sectorial'!I109*'FE Sectorial'!P109/1000</f>
        <v>10343021.821955606</v>
      </c>
      <c r="I110" s="17">
        <f>'Datos Actividad'!$AA106*'FE Sectorial'!$H109*'FE Sectorial'!J109/1000/1000</f>
        <v>549.86825209758683</v>
      </c>
      <c r="J110" s="17">
        <f>'Datos Actividad'!$AA106*'FE Sectorial'!$H109*'FE Sectorial'!K109/1000/1000</f>
        <v>549.86825209758683</v>
      </c>
      <c r="K110" s="17">
        <f>'Datos Actividad'!$AA106*'FE Sectorial'!$H109*'FE Sectorial'!L109/1000/1000</f>
        <v>112793.4876097614</v>
      </c>
      <c r="L110" s="17">
        <f>'Datos Actividad'!$AA106*'FE Sectorial'!$H109*'FE Sectorial'!M109/1000/1000</f>
        <v>140991.85951220174</v>
      </c>
      <c r="M110" s="17">
        <f>'Datos Actividad'!$AA106*'FE Sectorial'!$H109*'FE Sectorial'!N109/1000/1000</f>
        <v>28198.371902440351</v>
      </c>
      <c r="N110" s="17">
        <f>'Datos Actividad'!$AA106*'FE Sectorial'!$H109*'FE Sectorial'!O109/1000/1000</f>
        <v>5115.0535078845296</v>
      </c>
      <c r="O110" s="87">
        <f>IF(D110&lt;400,H110+I110*'Factores generales'!$M$41+J110*'Factores generales'!$N$41,I110*'Factores generales'!$M$41+J110*'Factores generales'!$N$41)</f>
        <v>10525028.213399908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Actividad'!$AA107*'FE Sectorial'!$H110*'FE Sectorial'!I110*'FE Sectorial'!P110/1000</f>
        <v>13179448.383104343</v>
      </c>
      <c r="I111" s="17">
        <f>'Datos Actividad'!$AA107*'FE Sectorial'!$H110*'FE Sectorial'!J110/1000/1000</f>
        <v>4802.5159178743952</v>
      </c>
      <c r="J111" s="17">
        <f>'Datos Actividad'!$AA107*'FE Sectorial'!$H110*'FE Sectorial'!K110/1000/1000</f>
        <v>1536.8050937198066</v>
      </c>
      <c r="K111" s="17">
        <f>'Datos Actividad'!$AA107*'FE Sectorial'!$H110*'FE Sectorial'!L110/1000/1000</f>
        <v>115260.38202898549</v>
      </c>
      <c r="L111" s="17">
        <f>'Datos Actividad'!$AA107*'FE Sectorial'!$H110*'FE Sectorial'!M110/1000/1000</f>
        <v>1536805.0937198065</v>
      </c>
      <c r="M111" s="17">
        <f>'Datos Actividad'!$AA107*'FE Sectorial'!$H110*'FE Sectorial'!N110/1000/1000</f>
        <v>288150.95507246366</v>
      </c>
      <c r="N111" s="17">
        <f>'Datos Actividad'!$AA107*'FE Sectorial'!$H110*'FE Sectorial'!O110/1000/1000</f>
        <v>867.27149758454095</v>
      </c>
      <c r="O111" s="87">
        <f>IF(D111&lt;400,H111+I111*'Factores generales'!$M$41+J111*'Factores generales'!$N$41,I111*'Factores generales'!$M$41+J111*'Factores generales'!$N$41)</f>
        <v>13756710.796432845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Actividad'!$AA108*'FE Sectorial'!$H111*'FE Sectorial'!I111*'FE Sectorial'!P111/1000</f>
        <v>0</v>
      </c>
      <c r="I112" s="17">
        <f>'Datos Actividad'!$AA108*'FE Sectorial'!$H111*'FE Sectorial'!J111/1000/1000</f>
        <v>0</v>
      </c>
      <c r="J112" s="17">
        <f>'Datos Actividad'!$AA108*'FE Sectorial'!$H111*'FE Sectorial'!K111/1000/1000</f>
        <v>0</v>
      </c>
      <c r="K112" s="17">
        <f>'Datos Actividad'!$AA108*'FE Sectorial'!$H111*'FE Sectorial'!L111/1000/1000</f>
        <v>0</v>
      </c>
      <c r="L112" s="17">
        <f>'Datos Actividad'!$AA108*'FE Sectorial'!$H111*'FE Sectorial'!M111/1000/1000</f>
        <v>0</v>
      </c>
      <c r="M112" s="17">
        <f>'Datos Actividad'!$AA108*'FE Sectorial'!$H111*'FE Sectorial'!N111/1000/1000</f>
        <v>0</v>
      </c>
      <c r="N112" s="17">
        <f>'Datos Actividad'!$AA108*'FE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Actividad'!$AA109*'FE Sectorial'!$H112*'FE Sectorial'!I112*'FE Sectorial'!P112/1000</f>
        <v>0</v>
      </c>
      <c r="I113" s="17">
        <f>'Datos Actividad'!$AA109*'FE Sectorial'!$H112*'FE Sectorial'!J112/1000/1000</f>
        <v>0</v>
      </c>
      <c r="J113" s="17">
        <f>'Datos Actividad'!$AA109*'FE Sectorial'!$H112*'FE Sectorial'!K112/1000/1000</f>
        <v>0</v>
      </c>
      <c r="K113" s="17">
        <f>'Datos Actividad'!$AA109*'FE Sectorial'!$H112*'FE Sectorial'!L112/1000/1000</f>
        <v>0</v>
      </c>
      <c r="L113" s="17">
        <f>'Datos Actividad'!$AA109*'FE Sectorial'!$H112*'FE Sectorial'!M112/1000/1000</f>
        <v>0</v>
      </c>
      <c r="M113" s="17">
        <f>'Datos Actividad'!$AA109*'FE Sectorial'!$H112*'FE Sectorial'!N112/1000/1000</f>
        <v>0</v>
      </c>
      <c r="N113" s="17">
        <f>'Datos Actividad'!$AA109*'FE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1979643.8507836931</v>
      </c>
      <c r="I114" s="15">
        <f t="shared" ref="I114:O114" si="29">I115</f>
        <v>105.24422385878221</v>
      </c>
      <c r="J114" s="15">
        <f t="shared" si="29"/>
        <v>105.24422385878221</v>
      </c>
      <c r="K114" s="15">
        <f t="shared" si="29"/>
        <v>21588.558740263015</v>
      </c>
      <c r="L114" s="15">
        <f t="shared" si="29"/>
        <v>26985.69842532877</v>
      </c>
      <c r="M114" s="15">
        <f t="shared" si="29"/>
        <v>5397.1396850657538</v>
      </c>
      <c r="N114" s="15">
        <f t="shared" si="29"/>
        <v>979.01603589564843</v>
      </c>
      <c r="O114" s="15">
        <f t="shared" si="29"/>
        <v>2014479.68888095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Actividad'!$AA111*'FE Sectorial'!$H114*'FE Sectorial'!I114*'FE Sectorial'!P114/1000</f>
        <v>1979643.8507836931</v>
      </c>
      <c r="I115" s="17">
        <f>'Datos Actividad'!$AA111*'FE Sectorial'!$H114*'FE Sectorial'!J114/1000/1000</f>
        <v>105.24422385878221</v>
      </c>
      <c r="J115" s="17">
        <f>'Datos Actividad'!$AA111*'FE Sectorial'!$H114*'FE Sectorial'!K114/1000/1000</f>
        <v>105.24422385878221</v>
      </c>
      <c r="K115" s="17">
        <f>'Datos Actividad'!$AA111*'FE Sectorial'!$H114*'FE Sectorial'!L114/1000/1000</f>
        <v>21588.558740263015</v>
      </c>
      <c r="L115" s="17">
        <f>'Datos Actividad'!$AA111*'FE Sectorial'!$H114*'FE Sectorial'!M114/1000/1000</f>
        <v>26985.69842532877</v>
      </c>
      <c r="M115" s="17">
        <f>'Datos Actividad'!$AA111*'FE Sectorial'!$H114*'FE Sectorial'!N114/1000/1000</f>
        <v>5397.1396850657538</v>
      </c>
      <c r="N115" s="17">
        <f>'Datos Actividad'!$AA111*'FE Sectorial'!$H114*'FE Sectorial'!O114/1000/1000</f>
        <v>979.01603589564843</v>
      </c>
      <c r="O115" s="87">
        <f>IF(D115&lt;400,H115+I115*'Factores generales'!$M$41+J115*'Factores generales'!$N$41,I115*'Factores generales'!$M$41+J115*'Factores generales'!$N$41)</f>
        <v>2014479.68888095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486519.7182403208</v>
      </c>
      <c r="I116" s="134">
        <f t="shared" ref="I116:O116" si="30">I117</f>
        <v>27.522960109834266</v>
      </c>
      <c r="J116" s="134">
        <f t="shared" si="30"/>
        <v>189.67630340753252</v>
      </c>
      <c r="K116" s="134">
        <f t="shared" si="30"/>
        <v>7958.4462968195458</v>
      </c>
      <c r="L116" s="134">
        <f t="shared" si="30"/>
        <v>6632.0385806829545</v>
      </c>
      <c r="M116" s="134">
        <f t="shared" si="30"/>
        <v>1326.407716136591</v>
      </c>
      <c r="N116" s="134">
        <f t="shared" si="30"/>
        <v>240.604190368963</v>
      </c>
      <c r="O116" s="134">
        <f t="shared" si="30"/>
        <v>545897.35445896233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Actividad'!$AA113*'FE Sectorial'!$H116*'FE Sectorial'!I116*'FE Sectorial'!P116/1000</f>
        <v>486519.7182403208</v>
      </c>
      <c r="I117" s="17">
        <f>'Datos Actividad'!$AA113*'FE Sectorial'!$H116*'FE Sectorial'!J116/1000/1000</f>
        <v>27.522960109834266</v>
      </c>
      <c r="J117" s="17">
        <f>'Datos Actividad'!$AA113*'FE Sectorial'!$H116*'FE Sectorial'!K116/1000/1000</f>
        <v>189.67630340753252</v>
      </c>
      <c r="K117" s="17">
        <f>'Datos Actividad'!$AA113*'FE Sectorial'!$H116*'FE Sectorial'!L116/1000/1000</f>
        <v>7958.4462968195458</v>
      </c>
      <c r="L117" s="17">
        <f>'Datos Actividad'!$AA113*'FE Sectorial'!$H116*'FE Sectorial'!M116/1000/1000</f>
        <v>6632.0385806829545</v>
      </c>
      <c r="M117" s="17">
        <f>'Datos Actividad'!$AA113*'FE Sectorial'!$H116*'FE Sectorial'!N116/1000/1000</f>
        <v>1326.407716136591</v>
      </c>
      <c r="N117" s="17">
        <f>'Datos Actividad'!$AA113*'FE Sectorial'!$H116*'FE Sectorial'!O116/1000/1000</f>
        <v>240.604190368963</v>
      </c>
      <c r="O117" s="87">
        <f>IF(D117&lt;400,H117+I117*'Factores generales'!$M$41+J117*'Factores generales'!$N$41,I117*'Factores generales'!$M$41+J117*'Factores generales'!$N$41)</f>
        <v>545897.35445896233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163959.34581567132</v>
      </c>
      <c r="I118" s="134">
        <f t="shared" ref="I118:O118" si="31">I122</f>
        <v>15.407156137211508</v>
      </c>
      <c r="J118" s="134">
        <f t="shared" si="31"/>
        <v>4.4020446106318598</v>
      </c>
      <c r="K118" s="134">
        <f t="shared" si="31"/>
        <v>3301.5334579738947</v>
      </c>
      <c r="L118" s="134">
        <f t="shared" si="31"/>
        <v>2201.0223053159298</v>
      </c>
      <c r="M118" s="134">
        <f t="shared" si="31"/>
        <v>440.20446106318599</v>
      </c>
      <c r="N118" s="134">
        <f t="shared" si="31"/>
        <v>203.34979526262441</v>
      </c>
      <c r="O118" s="134">
        <f t="shared" si="31"/>
        <v>165647.52992384863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2019703.7271638699</v>
      </c>
      <c r="I119" s="15">
        <f t="shared" ref="I119:O119" si="32">I120+I121</f>
        <v>187.22269251</v>
      </c>
      <c r="J119" s="15">
        <f t="shared" si="32"/>
        <v>53.492197860000005</v>
      </c>
      <c r="K119" s="15">
        <f t="shared" si="32"/>
        <v>40119.148394999997</v>
      </c>
      <c r="L119" s="15">
        <f t="shared" si="32"/>
        <v>26746.09893</v>
      </c>
      <c r="M119" s="15">
        <f t="shared" si="32"/>
        <v>5349.2197859999997</v>
      </c>
      <c r="N119" s="15">
        <f t="shared" si="32"/>
        <v>3823.7655556</v>
      </c>
      <c r="O119" s="15">
        <f t="shared" si="32"/>
        <v>2040217.9850431799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Actividad'!$AA116*'FE Sectorial'!$H119*'FE Sectorial'!I119*'FE Sectorial'!P119/1000</f>
        <v>667862.16483986995</v>
      </c>
      <c r="I120" s="17">
        <f>'Datos Actividad'!$AA116*'FE Sectorial'!$H119*'FE Sectorial'!J119/1000/1000</f>
        <v>63.728174509999995</v>
      </c>
      <c r="J120" s="17">
        <f>'Datos Actividad'!$AA116*'FE Sectorial'!$H119*'FE Sectorial'!K119/1000/1000</f>
        <v>18.208049859999999</v>
      </c>
      <c r="K120" s="17">
        <f>'Datos Actividad'!$AA116*'FE Sectorial'!$H119*'FE Sectorial'!L119/1000/1000</f>
        <v>13656.037394999999</v>
      </c>
      <c r="L120" s="17">
        <f>'Datos Actividad'!$AA116*'FE Sectorial'!$H119*'FE Sectorial'!M119/1000/1000</f>
        <v>9104.0249299999996</v>
      </c>
      <c r="M120" s="17">
        <f>'Datos Actividad'!$AA116*'FE Sectorial'!$H119*'FE Sectorial'!N119/1000/1000</f>
        <v>1820.8049860000001</v>
      </c>
      <c r="N120" s="17">
        <f>'Datos Actividad'!$AA116*'FE Sectorial'!$H119*'FE Sectorial'!O119/1000/1000</f>
        <v>330.28555559999995</v>
      </c>
      <c r="O120" s="87">
        <f>IF(D120&lt;400,H120+I120*'Factores generales'!$M$41+J120*'Factores generales'!$N$41,I120*'Factores generales'!$M$41+J120*'Factores generales'!$N$41)</f>
        <v>674844.95196117996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Actividad'!$AA117*'FE Sectorial'!$H120*'FE Sectorial'!I120*'FE Sectorial'!P120/1000</f>
        <v>1351841.5623240001</v>
      </c>
      <c r="I121" s="17">
        <f>'Datos Actividad'!$AA117*'FE Sectorial'!$H120*'FE Sectorial'!J120/1000/1000</f>
        <v>123.494518</v>
      </c>
      <c r="J121" s="17">
        <f>'Datos Actividad'!$AA117*'FE Sectorial'!$H120*'FE Sectorial'!K120/1000/1000</f>
        <v>35.284148000000002</v>
      </c>
      <c r="K121" s="17">
        <f>'Datos Actividad'!$AA117*'FE Sectorial'!$H120*'FE Sectorial'!L120/1000/1000</f>
        <v>26463.111000000001</v>
      </c>
      <c r="L121" s="17">
        <f>'Datos Actividad'!$AA117*'FE Sectorial'!$H120*'FE Sectorial'!M120/1000/1000</f>
        <v>17642.074000000001</v>
      </c>
      <c r="M121" s="17">
        <f>'Datos Actividad'!$AA117*'FE Sectorial'!$H120*'FE Sectorial'!N120/1000/1000</f>
        <v>3528.4148</v>
      </c>
      <c r="N121" s="17">
        <f>'Datos Actividad'!$AA117*'FE Sectorial'!$H120*'FE Sectorial'!O120/1000/1000</f>
        <v>3493.48</v>
      </c>
      <c r="O121" s="87">
        <f>IF(D121&lt;400,H121+I121*'Factores generales'!$M$41+J121*'Factores generales'!$N$41,I121*'Factores generales'!$M$41+J121*'Factores generales'!$N$41)</f>
        <v>1365373.033082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163959.34581567132</v>
      </c>
      <c r="I122" s="15">
        <f t="shared" ref="I122:O122" si="33">I123+I124</f>
        <v>15.407156137211508</v>
      </c>
      <c r="J122" s="15">
        <f t="shared" si="33"/>
        <v>4.4020446106318598</v>
      </c>
      <c r="K122" s="15">
        <f t="shared" si="33"/>
        <v>3301.5334579738947</v>
      </c>
      <c r="L122" s="15">
        <f t="shared" si="33"/>
        <v>2201.0223053159298</v>
      </c>
      <c r="M122" s="15">
        <f t="shared" si="33"/>
        <v>440.20446106318599</v>
      </c>
      <c r="N122" s="15">
        <f t="shared" si="33"/>
        <v>203.34979526262441</v>
      </c>
      <c r="O122" s="15">
        <f t="shared" si="33"/>
        <v>165647.52992384863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Actividad'!$AA119*'FE Sectorial'!$H122*'FE Sectorial'!I122*'FE Sectorial'!P122/1000</f>
        <v>105450.79725567129</v>
      </c>
      <c r="I123" s="17">
        <f>'Datos Actividad'!$AA119*'FE Sectorial'!$H122*'FE Sectorial'!J122/1000/1000</f>
        <v>10.062236137211508</v>
      </c>
      <c r="J123" s="17">
        <f>'Datos Actividad'!$AA119*'FE Sectorial'!$H122*'FE Sectorial'!K122/1000/1000</f>
        <v>2.8749246106318598</v>
      </c>
      <c r="K123" s="17">
        <f>'Datos Actividad'!$AA119*'FE Sectorial'!$H122*'FE Sectorial'!L122/1000/1000</f>
        <v>2156.193457973895</v>
      </c>
      <c r="L123" s="17">
        <f>'Datos Actividad'!$AA119*'FE Sectorial'!$H122*'FE Sectorial'!M122/1000/1000</f>
        <v>1437.4623053159298</v>
      </c>
      <c r="M123" s="17">
        <f>'Datos Actividad'!$AA119*'FE Sectorial'!$H122*'FE Sectorial'!N122/1000/1000</f>
        <v>287.492461063186</v>
      </c>
      <c r="N123" s="17">
        <f>'Datos Actividad'!$AA119*'FE Sectorial'!$H122*'FE Sectorial'!O122/1000/1000</f>
        <v>52.149795262624437</v>
      </c>
      <c r="O123" s="87">
        <f>IF(D123&lt;400,H123+I123*'Factores generales'!$M$41+J123*'Factores generales'!$N$41,I123*'Factores generales'!$M$41+J123*'Factores generales'!$N$41)</f>
        <v>106553.33084384861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Actividad'!$AA120*'FE Sectorial'!$H123*'FE Sectorial'!I123*'FE Sectorial'!P123/1000</f>
        <v>58508.54856000001</v>
      </c>
      <c r="I124" s="17">
        <f>'Datos Actividad'!$AA120*'FE Sectorial'!$H123*'FE Sectorial'!J123/1000/1000</f>
        <v>5.3449200000000001</v>
      </c>
      <c r="J124" s="17">
        <f>'Datos Actividad'!$AA120*'FE Sectorial'!$H123*'FE Sectorial'!K123/1000/1000</f>
        <v>1.5271199999999998</v>
      </c>
      <c r="K124" s="17">
        <f>'Datos Actividad'!$AA120*'FE Sectorial'!$H123*'FE Sectorial'!L123/1000/1000</f>
        <v>1145.3399999999999</v>
      </c>
      <c r="L124" s="17">
        <f>'Datos Actividad'!$AA120*'FE Sectorial'!$H123*'FE Sectorial'!M123/1000/1000</f>
        <v>763.56</v>
      </c>
      <c r="M124" s="17">
        <f>'Datos Actividad'!$AA120*'FE Sectorial'!$H123*'FE Sectorial'!N123/1000/1000</f>
        <v>152.71199999999999</v>
      </c>
      <c r="N124" s="17">
        <f>'Datos Actividad'!$AA120*'FE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1313363.1362235486</v>
      </c>
      <c r="I125" s="134">
        <f t="shared" si="34"/>
        <v>23.65369379933254</v>
      </c>
      <c r="J125" s="134">
        <f t="shared" si="34"/>
        <v>2.3891357328744309</v>
      </c>
      <c r="K125" s="134">
        <f t="shared" si="34"/>
        <v>3528.2487757822337</v>
      </c>
      <c r="L125" s="134">
        <f t="shared" si="34"/>
        <v>469.50892304547432</v>
      </c>
      <c r="M125" s="134">
        <f t="shared" si="34"/>
        <v>117.47625723195682</v>
      </c>
      <c r="N125" s="134">
        <f t="shared" si="34"/>
        <v>2.8740705882352944</v>
      </c>
      <c r="O125" s="134">
        <f t="shared" si="34"/>
        <v>1314600.4958705257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1313363.1362235486</v>
      </c>
      <c r="I126" s="15">
        <f t="shared" si="35"/>
        <v>23.65369379933254</v>
      </c>
      <c r="J126" s="15">
        <f t="shared" si="35"/>
        <v>2.3891357328744309</v>
      </c>
      <c r="K126" s="15">
        <f t="shared" si="35"/>
        <v>3528.2487757822337</v>
      </c>
      <c r="L126" s="15">
        <f t="shared" si="35"/>
        <v>469.50892304547432</v>
      </c>
      <c r="M126" s="15">
        <f t="shared" si="35"/>
        <v>117.47625723195682</v>
      </c>
      <c r="N126" s="15">
        <f t="shared" si="35"/>
        <v>2.8740705882352944</v>
      </c>
      <c r="O126" s="15">
        <f t="shared" si="35"/>
        <v>1314600.4958705257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Actividad'!$AA123*'FE Sectorial'!$H126*'FE Sectorial'!I126*'FE Sectorial'!P126/1000</f>
        <v>1289102.3357180427</v>
      </c>
      <c r="I127" s="17">
        <f>'Datos Actividad'!$AA123*'FE Sectorial'!$H126*'FE Sectorial'!J126/1000/1000</f>
        <v>23.094121869920773</v>
      </c>
      <c r="J127" s="17">
        <f>'Datos Actividad'!$AA123*'FE Sectorial'!$H126*'FE Sectorial'!K126/1000/1000</f>
        <v>2.3094121869920778</v>
      </c>
      <c r="K127" s="17">
        <f>'Datos Actividad'!$AA123*'FE Sectorial'!$H126*'FE Sectorial'!L126/1000/1000</f>
        <v>3464.1182804881164</v>
      </c>
      <c r="L127" s="17">
        <f>'Datos Actividad'!$AA123*'FE Sectorial'!$H126*'FE Sectorial'!M126/1000/1000</f>
        <v>461.8824373984155</v>
      </c>
      <c r="M127" s="17">
        <f>'Datos Actividad'!$AA123*'FE Sectorial'!$H126*'FE Sectorial'!N126/1000/1000</f>
        <v>115.47060934960388</v>
      </c>
      <c r="N127" s="17">
        <f>'Datos Actividad'!$AA123*'FE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1290303.2300552786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Actividad'!$AA124*'FE Sectorial'!$H127*'FE Sectorial'!I127*'FE Sectorial'!P127/1000</f>
        <v>5811.5862847058816</v>
      </c>
      <c r="I128" s="17">
        <f>'Datos Actividad'!$AA124*'FE Sectorial'!$H127*'FE Sectorial'!J127/1000/1000</f>
        <v>0.23766352941176469</v>
      </c>
      <c r="J128" s="17">
        <f>'Datos Actividad'!$AA124*'FE Sectorial'!$H127*'FE Sectorial'!K127/1000/1000</f>
        <v>4.7532705882352942E-2</v>
      </c>
      <c r="K128" s="17">
        <f>'Datos Actividad'!$AA124*'FE Sectorial'!$H127*'FE Sectorial'!L127/1000/1000</f>
        <v>15.844235294117649</v>
      </c>
      <c r="L128" s="17">
        <f>'Datos Actividad'!$AA124*'FE Sectorial'!$H127*'FE Sectorial'!M127/1000/1000</f>
        <v>1.1883176470588237</v>
      </c>
      <c r="M128" s="17">
        <f>'Datos Actividad'!$AA124*'FE Sectorial'!$H127*'FE Sectorial'!N127/1000/1000</f>
        <v>0.3961058823529412</v>
      </c>
      <c r="N128" s="17">
        <f>'Datos Actividad'!$AA124*'FE Sectorial'!$H127*'FE Sectorial'!O127/1000/1000</f>
        <v>2.8740705882352944</v>
      </c>
      <c r="O128" s="87">
        <f>IF(D128&lt;400,H128+I128*'Factores generales'!$M$41+J128*'Factores generales'!$N$41,I128*'Factores generales'!$M$41+J128*'Factores generales'!$N$41)</f>
        <v>5831.312357647058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Actividad'!$AA125*'FE Sectorial'!$H128*'FE Sectorial'!I128*'FE Sectorial'!P128/1000</f>
        <v>18449.214220800004</v>
      </c>
      <c r="I129" s="17">
        <f>'Datos Actividad'!$AA125*'FE Sectorial'!$H128*'FE Sectorial'!J128/1000/1000</f>
        <v>0.32190840000000004</v>
      </c>
      <c r="J129" s="17">
        <f>'Datos Actividad'!$AA125*'FE Sectorial'!$H128*'FE Sectorial'!K128/1000/1000</f>
        <v>3.2190839999999998E-2</v>
      </c>
      <c r="K129" s="17">
        <f>'Datos Actividad'!$AA125*'FE Sectorial'!$H128*'FE Sectorial'!L128/1000/1000</f>
        <v>48.286259999999999</v>
      </c>
      <c r="L129" s="17">
        <f>'Datos Actividad'!$AA125*'FE Sectorial'!$H128*'FE Sectorial'!M128/1000/1000</f>
        <v>6.4381679999999992</v>
      </c>
      <c r="M129" s="17">
        <f>'Datos Actividad'!$AA125*'FE Sectorial'!$H128*'FE Sectorial'!N128/1000/1000</f>
        <v>1.6095419999999998</v>
      </c>
      <c r="N129" s="17">
        <f>'Datos Actividad'!$AA125*'FE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18465.953457600004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21920031.695448041</v>
      </c>
      <c r="I131" s="129">
        <f t="shared" si="36"/>
        <v>1597.6877080056831</v>
      </c>
      <c r="J131" s="129">
        <f t="shared" si="36"/>
        <v>134.87426814407885</v>
      </c>
      <c r="K131" s="129">
        <f t="shared" si="36"/>
        <v>118323.27451748148</v>
      </c>
      <c r="L131" s="129">
        <f t="shared" si="36"/>
        <v>145322.79742099482</v>
      </c>
      <c r="M131" s="129">
        <f t="shared" si="36"/>
        <v>19342.799498143282</v>
      </c>
      <c r="N131" s="129">
        <f t="shared" si="36"/>
        <v>6459.6378833701092</v>
      </c>
      <c r="O131" s="129">
        <f t="shared" si="36"/>
        <v>21995394.160440825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4783314.6057879347</v>
      </c>
      <c r="I132" s="134">
        <f>SUM(I133:I137)</f>
        <v>113.31041545850118</v>
      </c>
      <c r="J132" s="134">
        <f t="shared" ref="J132:O132" si="37">SUM(J133:J137)</f>
        <v>16.308849075261886</v>
      </c>
      <c r="K132" s="134">
        <f t="shared" si="37"/>
        <v>11189.120201128122</v>
      </c>
      <c r="L132" s="134">
        <f t="shared" si="37"/>
        <v>3508.4708435132961</v>
      </c>
      <c r="M132" s="134">
        <f t="shared" si="37"/>
        <v>400.62515964544718</v>
      </c>
      <c r="N132" s="134">
        <f t="shared" si="37"/>
        <v>919.30608670427068</v>
      </c>
      <c r="O132" s="134">
        <f t="shared" si="37"/>
        <v>4790749.8677258948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Actividad'!$AA129*'FE Sectorial'!$H132*'FE Sectorial'!I132*'FE Sectorial'!P132/1000</f>
        <v>0</v>
      </c>
      <c r="I133" s="17">
        <f>'Datos Actividad'!$AA129*'FE Sectorial'!$H132*'FE Sectorial'!J132/1000/1000</f>
        <v>0</v>
      </c>
      <c r="J133" s="17">
        <f>'Datos Actividad'!$AA129*'FE Sectorial'!$H132*'FE Sectorial'!K132/1000/1000</f>
        <v>0</v>
      </c>
      <c r="K133" s="17">
        <f>'Datos Actividad'!$AA129*'FE Sectorial'!$H132*'FE Sectorial'!L132/1000/1000</f>
        <v>0</v>
      </c>
      <c r="L133" s="17">
        <f>'Datos Actividad'!$AA129*'FE Sectorial'!$H132*'FE Sectorial'!M132/1000/1000</f>
        <v>0</v>
      </c>
      <c r="M133" s="17">
        <f>'Datos Actividad'!$AA129*'FE Sectorial'!$H132*'FE Sectorial'!N132/1000/1000</f>
        <v>0</v>
      </c>
      <c r="N133" s="17">
        <f>'Datos Actividad'!$AA129*'FE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Actividad'!$AA130*'FE Sectorial'!$H133*'FE Sectorial'!I133*'FE Sectorial'!P133/1000</f>
        <v>3432920.684688</v>
      </c>
      <c r="I134" s="17">
        <f>'Datos Actividad'!$AA130*'FE Sectorial'!$H133*'FE Sectorial'!J133/1000/1000</f>
        <v>61.500383999999997</v>
      </c>
      <c r="J134" s="17">
        <f>'Datos Actividad'!$AA130*'FE Sectorial'!$H133*'FE Sectorial'!K133/1000/1000</f>
        <v>6.1500384000000006</v>
      </c>
      <c r="K134" s="17">
        <f>'Datos Actividad'!$AA130*'FE Sectorial'!$H133*'FE Sectorial'!L133/1000/1000</f>
        <v>9225.0576000000001</v>
      </c>
      <c r="L134" s="17">
        <f>'Datos Actividad'!$AA130*'FE Sectorial'!$H133*'FE Sectorial'!M133/1000/1000</f>
        <v>3075.0192000000002</v>
      </c>
      <c r="M134" s="17">
        <f>'Datos Actividad'!$AA130*'FE Sectorial'!$H133*'FE Sectorial'!N133/1000/1000</f>
        <v>307.50191999999998</v>
      </c>
      <c r="N134" s="17">
        <f>'Datos Actividad'!$AA130*'FE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3436118.7046559998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Actividad'!$AA131*'FE Sectorial'!$H134*'FE Sectorial'!I134*'FE Sectorial'!P134/1000</f>
        <v>126934.26963287671</v>
      </c>
      <c r="I135" s="17">
        <f>'Datos Actividad'!$AA131*'FE Sectorial'!$H134*'FE Sectorial'!J134/1000/1000</f>
        <v>2.0319561643835615</v>
      </c>
      <c r="J135" s="17">
        <f>'Datos Actividad'!$AA131*'FE Sectorial'!$H134*'FE Sectorial'!K134/1000/1000</f>
        <v>0.20319561643835618</v>
      </c>
      <c r="K135" s="17">
        <f>'Datos Actividad'!$AA131*'FE Sectorial'!$H134*'FE Sectorial'!L134/1000/1000</f>
        <v>304.79342465753422</v>
      </c>
      <c r="L135" s="17">
        <f>'Datos Actividad'!$AA131*'FE Sectorial'!$H134*'FE Sectorial'!M134/1000/1000</f>
        <v>101.59780821917809</v>
      </c>
      <c r="M135" s="17">
        <f>'Datos Actividad'!$AA131*'FE Sectorial'!$H134*'FE Sectorial'!N134/1000/1000</f>
        <v>10.159780821917808</v>
      </c>
      <c r="N135" s="17">
        <f>'Datos Actividad'!$AA131*'FE Sectorial'!$H134*'FE Sectorial'!O134/1000/1000</f>
        <v>8.5917808219178102</v>
      </c>
      <c r="O135" s="87">
        <f>IF(D135&lt;400,H135+I135*'Factores generales'!$M$41+J135*'Factores generales'!$N$41,I135*'Factores generales'!$M$41+J135*'Factores generales'!$N$41)</f>
        <v>127039.93135342465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Actividad'!$AA132*'FE Sectorial'!$H135*'FE Sectorial'!I135*'FE Sectorial'!P135/1000</f>
        <v>1077188.2800670585</v>
      </c>
      <c r="I136" s="17">
        <f>'Datos Actividad'!$AA132*'FE Sectorial'!$H135*'FE Sectorial'!J135/1000/1000</f>
        <v>44.051375294117641</v>
      </c>
      <c r="J136" s="17">
        <f>'Datos Actividad'!$AA132*'FE Sectorial'!$H135*'FE Sectorial'!K135/1000/1000</f>
        <v>8.8102750588235281</v>
      </c>
      <c r="K136" s="17">
        <f>'Datos Actividad'!$AA132*'FE Sectorial'!$H135*'FE Sectorial'!L135/1000/1000</f>
        <v>1468.3791764705882</v>
      </c>
      <c r="L136" s="17">
        <f>'Datos Actividad'!$AA132*'FE Sectorial'!$H135*'FE Sectorial'!M135/1000/1000</f>
        <v>293.67583529411763</v>
      </c>
      <c r="M136" s="17">
        <f>'Datos Actividad'!$AA132*'FE Sectorial'!$H135*'FE Sectorial'!N135/1000/1000</f>
        <v>73.418958823529408</v>
      </c>
      <c r="N136" s="17">
        <f>'Datos Actividad'!$AA132*'FE Sectorial'!$H135*'FE Sectorial'!O135/1000/1000</f>
        <v>532.71430588235285</v>
      </c>
      <c r="O136" s="87">
        <f>IF(D136&lt;400,H136+I136*'Factores generales'!$M$41+J136*'Factores generales'!$N$41,I136*'Factores generales'!$M$41+J136*'Factores generales'!$N$41)</f>
        <v>1080844.5442164703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Actividad'!$AA133*'FE Sectorial'!$H136*'FE Sectorial'!I136*'FE Sectorial'!P136/1000</f>
        <v>146271.3714</v>
      </c>
      <c r="I137" s="17">
        <f>'Datos Actividad'!$AA133*'FE Sectorial'!$H136*'FE Sectorial'!J136/1000/1000</f>
        <v>5.7267000000000001</v>
      </c>
      <c r="J137" s="17">
        <f>'Datos Actividad'!$AA133*'FE Sectorial'!$H136*'FE Sectorial'!K136/1000/1000</f>
        <v>1.14534</v>
      </c>
      <c r="K137" s="17">
        <f>'Datos Actividad'!$AA133*'FE Sectorial'!$H136*'FE Sectorial'!L136/1000/1000</f>
        <v>190.89</v>
      </c>
      <c r="L137" s="17">
        <f>'Datos Actividad'!$AA133*'FE Sectorial'!$H136*'FE Sectorial'!M136/1000/1000</f>
        <v>38.177999999999997</v>
      </c>
      <c r="M137" s="17">
        <f>'Datos Actividad'!$AA133*'FE Sectorial'!$H136*'FE Sectorial'!N136/1000/1000</f>
        <v>9.5444999999999993</v>
      </c>
      <c r="N137" s="17">
        <f>'Datos Actividad'!$AA133*'FE Sectorial'!$H136*'FE Sectorial'!O136/1000/1000</f>
        <v>378</v>
      </c>
      <c r="O137" s="87">
        <f>IF(D137&lt;400,H137+I137*'Factores generales'!$M$41+J137*'Factores generales'!$N$41,I137*'Factores generales'!$M$41+J137*'Factores generales'!$N$41)</f>
        <v>146746.68750000003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12562783.439660108</v>
      </c>
      <c r="I138" s="134">
        <f>SUM(I139:I144)</f>
        <v>1297.327292547182</v>
      </c>
      <c r="J138" s="134">
        <f t="shared" ref="J138:O138" si="38">SUM(J139:J144)</f>
        <v>81.155419068816968</v>
      </c>
      <c r="K138" s="134">
        <f t="shared" si="38"/>
        <v>32314.154316353353</v>
      </c>
      <c r="L138" s="134">
        <f t="shared" si="38"/>
        <v>79464.326577481523</v>
      </c>
      <c r="M138" s="134">
        <f t="shared" si="38"/>
        <v>6472.1743384978354</v>
      </c>
      <c r="N138" s="134">
        <f t="shared" si="38"/>
        <v>3278.3317966658383</v>
      </c>
      <c r="O138" s="134">
        <f t="shared" si="38"/>
        <v>12615185.49271493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Actividad'!$AA135*'FE Sectorial'!$H138*'FE Sectorial'!I138*'FE Sectorial'!P138/1000</f>
        <v>812903.79130434804</v>
      </c>
      <c r="I139" s="17">
        <f>'Datos Actividad'!$AA135*'FE Sectorial'!$H138*'FE Sectorial'!J138/1000/1000</f>
        <v>250.27826086956526</v>
      </c>
      <c r="J139" s="17">
        <f>'Datos Actividad'!$AA135*'FE Sectorial'!$H138*'FE Sectorial'!K138/1000/1000</f>
        <v>33.370434782608697</v>
      </c>
      <c r="K139" s="17">
        <f>'Datos Actividad'!$AA135*'FE Sectorial'!$H138*'FE Sectorial'!L138/1000/1000</f>
        <v>834.26086956521749</v>
      </c>
      <c r="L139" s="17">
        <f>'Datos Actividad'!$AA135*'FE Sectorial'!$H138*'FE Sectorial'!M138/1000/1000</f>
        <v>41713.043478260872</v>
      </c>
      <c r="M139" s="17">
        <f>'Datos Actividad'!$AA135*'FE Sectorial'!$H138*'FE Sectorial'!N138/1000/1000</f>
        <v>5005.5652173913049</v>
      </c>
      <c r="N139" s="17">
        <f>'Datos Actividad'!$AA135*'FE Sectorial'!$H138*'FE Sectorial'!O138/1000/1000</f>
        <v>2139.130434782609</v>
      </c>
      <c r="O139" s="87">
        <f>IF(D139&lt;400,H139+I139*'Factores generales'!$M$41+J139*'Factores generales'!$N$41,I139*'Factores generales'!$M$41+J139*'Factores generales'!$N$41)</f>
        <v>15600.678260869565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Actividad'!$AA136*'FE Sectorial'!$H139*'FE Sectorial'!I139*'FE Sectorial'!P139/1000</f>
        <v>0</v>
      </c>
      <c r="I140" s="17">
        <f>'Datos Actividad'!$AA136*'FE Sectorial'!$H139*'FE Sectorial'!J139/1000/1000</f>
        <v>0</v>
      </c>
      <c r="J140" s="17">
        <f>'Datos Actividad'!$AA136*'FE Sectorial'!$H139*'FE Sectorial'!K139/1000/1000</f>
        <v>0</v>
      </c>
      <c r="K140" s="17">
        <f>'Datos Actividad'!$AA136*'FE Sectorial'!$H139*'FE Sectorial'!L139/1000/1000</f>
        <v>0</v>
      </c>
      <c r="L140" s="17">
        <f>'Datos Actividad'!$AA136*'FE Sectorial'!$H139*'FE Sectorial'!M139/1000/1000</f>
        <v>0</v>
      </c>
      <c r="M140" s="17">
        <f>'Datos Actividad'!$AA136*'FE Sectorial'!$H139*'FE Sectorial'!N139/1000/1000</f>
        <v>0</v>
      </c>
      <c r="N140" s="17">
        <f>'Datos Actividad'!$AA136*'FE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Actividad'!$AA137*'FE Sectorial'!$H140*'FE Sectorial'!I140*'FE Sectorial'!P140/1000</f>
        <v>8372319.4700640002</v>
      </c>
      <c r="I141" s="17">
        <f>'Datos Actividad'!$AA137*'FE Sectorial'!$H140*'FE Sectorial'!J140/1000/1000</f>
        <v>149.98915199999999</v>
      </c>
      <c r="J141" s="17">
        <f>'Datos Actividad'!$AA137*'FE Sectorial'!$H140*'FE Sectorial'!K140/1000/1000</f>
        <v>14.998915200000001</v>
      </c>
      <c r="K141" s="17">
        <f>'Datos Actividad'!$AA137*'FE Sectorial'!$H140*'FE Sectorial'!L140/1000/1000</f>
        <v>22498.372800000001</v>
      </c>
      <c r="L141" s="17">
        <f>'Datos Actividad'!$AA137*'FE Sectorial'!$H140*'FE Sectorial'!M140/1000/1000</f>
        <v>7499.4575999999997</v>
      </c>
      <c r="M141" s="17">
        <f>'Datos Actividad'!$AA137*'FE Sectorial'!$H140*'FE Sectorial'!N140/1000/1000</f>
        <v>749.94576000000006</v>
      </c>
      <c r="N141" s="17">
        <f>'Datos Actividad'!$AA137*'FE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8380118.9059680002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Actividad'!$AA138*'FE Sectorial'!$H141*'FE Sectorial'!I141*'FE Sectorial'!P141/1000</f>
        <v>2697353.22969863</v>
      </c>
      <c r="I142" s="17">
        <f>'Datos Actividad'!$AA138*'FE Sectorial'!$H141*'FE Sectorial'!J141/1000/1000</f>
        <v>43.179068493150687</v>
      </c>
      <c r="J142" s="17">
        <f>'Datos Actividad'!$AA138*'FE Sectorial'!$H141*'FE Sectorial'!K141/1000/1000</f>
        <v>4.3179068493150687</v>
      </c>
      <c r="K142" s="17">
        <f>'Datos Actividad'!$AA138*'FE Sectorial'!$H141*'FE Sectorial'!L141/1000/1000</f>
        <v>6476.860273972602</v>
      </c>
      <c r="L142" s="17">
        <f>'Datos Actividad'!$AA138*'FE Sectorial'!$H141*'FE Sectorial'!M141/1000/1000</f>
        <v>2158.9534246575345</v>
      </c>
      <c r="M142" s="17">
        <f>'Datos Actividad'!$AA138*'FE Sectorial'!$H141*'FE Sectorial'!N141/1000/1000</f>
        <v>215.8953424657534</v>
      </c>
      <c r="N142" s="17">
        <f>'Datos Actividad'!$AA138*'FE Sectorial'!$H141*'FE Sectorial'!O141/1000/1000</f>
        <v>182.57534246575344</v>
      </c>
      <c r="O142" s="87">
        <f>IF(D142&lt;400,H142+I142*'Factores generales'!$M$41+J142*'Factores generales'!$N$41,I142*'Factores generales'!$M$41+J142*'Factores generales'!$N$41)</f>
        <v>2699598.5412602737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Actividad'!$AA139*'FE Sectorial'!$H142*'FE Sectorial'!I142*'FE Sectorial'!P142/1000</f>
        <v>1493110.7398974763</v>
      </c>
      <c r="I143" s="17">
        <f>'Datos Actividad'!$AA139*'FE Sectorial'!$H142*'FE Sectorial'!J142/1000/1000</f>
        <v>63.280811184466032</v>
      </c>
      <c r="J143" s="17">
        <f>'Datos Actividad'!$AA139*'FE Sectorial'!$H142*'FE Sectorial'!K142/1000/1000</f>
        <v>12.656162236893207</v>
      </c>
      <c r="K143" s="17">
        <f>'Datos Actividad'!$AA139*'FE Sectorial'!$H142*'FE Sectorial'!L142/1000/1000</f>
        <v>2109.3603728155344</v>
      </c>
      <c r="L143" s="17">
        <f>'Datos Actividad'!$AA139*'FE Sectorial'!$H142*'FE Sectorial'!M142/1000/1000</f>
        <v>421.87207456310688</v>
      </c>
      <c r="M143" s="17">
        <f>'Datos Actividad'!$AA139*'FE Sectorial'!$H142*'FE Sectorial'!N142/1000/1000</f>
        <v>105.46801864077672</v>
      </c>
      <c r="N143" s="17">
        <f>'Datos Actividad'!$AA139*'FE Sectorial'!$H142*'FE Sectorial'!O142/1000/1000</f>
        <v>956.62601941747596</v>
      </c>
      <c r="O143" s="87">
        <f>IF(D143&lt;400,H143+I143*'Factores generales'!$M$41+J143*'Factores generales'!$N$41,I143*'Factores generales'!$M$41+J143*'Factores generales'!$N$41)</f>
        <v>1498363.0472257868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Actividad'!$AA140*'FE Sectorial'!$H143*'FE Sectorial'!I143*'FE Sectorial'!P143/1000</f>
        <v>385180.32</v>
      </c>
      <c r="I144" s="17">
        <f>'Datos Actividad'!$AA140*'FE Sectorial'!$H143*'FE Sectorial'!J143/1000/1000</f>
        <v>790.6</v>
      </c>
      <c r="J144" s="17">
        <f>'Datos Actividad'!$AA140*'FE Sectorial'!$H143*'FE Sectorial'!K143/1000/1000</f>
        <v>15.811999999999999</v>
      </c>
      <c r="K144" s="17">
        <f>'Datos Actividad'!$AA140*'FE Sectorial'!$H143*'FE Sectorial'!L143/1000/1000</f>
        <v>395.3</v>
      </c>
      <c r="L144" s="17">
        <f>'Datos Actividad'!$AA140*'FE Sectorial'!$H143*'FE Sectorial'!M143/1000/1000</f>
        <v>27671</v>
      </c>
      <c r="M144" s="17">
        <f>'Datos Actividad'!$AA140*'FE Sectorial'!$H143*'FE Sectorial'!N143/1000/1000</f>
        <v>395.3</v>
      </c>
      <c r="N144" s="17">
        <f>'Datos Actividad'!$AA140*'FE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21504.320000000003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4573933.6500000004</v>
      </c>
      <c r="I145" s="134">
        <f t="shared" ref="I145:O145" si="39">SUM(I146:I149)</f>
        <v>187.05</v>
      </c>
      <c r="J145" s="134">
        <f t="shared" si="39"/>
        <v>37.409999999999997</v>
      </c>
      <c r="K145" s="134">
        <f t="shared" si="39"/>
        <v>74820</v>
      </c>
      <c r="L145" s="134">
        <f t="shared" si="39"/>
        <v>62350</v>
      </c>
      <c r="M145" s="134">
        <f t="shared" si="39"/>
        <v>12470</v>
      </c>
      <c r="N145" s="134">
        <f t="shared" si="39"/>
        <v>2262</v>
      </c>
      <c r="O145" s="134">
        <f t="shared" si="39"/>
        <v>4589458.8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Actividad'!$AA142*'FE Sectorial'!$H145*'FE Sectorial'!I145*'FE Sectorial'!P145/1000</f>
        <v>0</v>
      </c>
      <c r="I146" s="17">
        <f>'Datos Actividad'!$AA142*'FE Sectorial'!$H145*'FE Sectorial'!J145/1000/1000</f>
        <v>0</v>
      </c>
      <c r="J146" s="17">
        <f>'Datos Actividad'!$AA142*'FE Sectorial'!$H145*'FE Sectorial'!K145/1000/1000</f>
        <v>0</v>
      </c>
      <c r="K146" s="17">
        <f>'Datos Actividad'!$AA142*'FE Sectorial'!$H145*'FE Sectorial'!L145/1000/1000</f>
        <v>0</v>
      </c>
      <c r="L146" s="17">
        <f>'Datos Actividad'!$AA142*'FE Sectorial'!$H145*'FE Sectorial'!M145/1000/1000</f>
        <v>0</v>
      </c>
      <c r="M146" s="17">
        <f>'Datos Actividad'!$AA142*'FE Sectorial'!$H145*'FE Sectorial'!N145/1000/1000</f>
        <v>0</v>
      </c>
      <c r="N146" s="17">
        <f>'Datos Actividad'!$AA142*'FE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Actividad'!$AA143*'FE Sectorial'!$H146*'FE Sectorial'!I146*'FE Sectorial'!P146/1000</f>
        <v>0</v>
      </c>
      <c r="I147" s="17">
        <f>'Datos Actividad'!$AA143*'FE Sectorial'!$H146*'FE Sectorial'!J146/1000/1000</f>
        <v>0</v>
      </c>
      <c r="J147" s="17">
        <f>'Datos Actividad'!$AA143*'FE Sectorial'!$H146*'FE Sectorial'!K146/1000/1000</f>
        <v>0</v>
      </c>
      <c r="K147" s="17">
        <f>'Datos Actividad'!$AA143*'FE Sectorial'!$H146*'FE Sectorial'!L146/1000/1000</f>
        <v>0</v>
      </c>
      <c r="L147" s="17">
        <f>'Datos Actividad'!$AA143*'FE Sectorial'!$H146*'FE Sectorial'!M146/1000/1000</f>
        <v>0</v>
      </c>
      <c r="M147" s="17">
        <f>'Datos Actividad'!$AA143*'FE Sectorial'!$H146*'FE Sectorial'!N146/1000/1000</f>
        <v>0</v>
      </c>
      <c r="N147" s="17">
        <f>'Datos Actividad'!$AA143*'FE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Actividad'!$AA144*'FE Sectorial'!$H147*'FE Sectorial'!I147*'FE Sectorial'!P147/1000</f>
        <v>4573933.6500000004</v>
      </c>
      <c r="I148" s="17">
        <f>'Datos Actividad'!$AA144*'FE Sectorial'!$H147*'FE Sectorial'!J147/1000/1000</f>
        <v>187.05</v>
      </c>
      <c r="J148" s="17">
        <f>'Datos Actividad'!$AA144*'FE Sectorial'!$H147*'FE Sectorial'!K147/1000/1000</f>
        <v>37.409999999999997</v>
      </c>
      <c r="K148" s="17">
        <f>'Datos Actividad'!$AA144*'FE Sectorial'!$H147*'FE Sectorial'!L147/1000/1000</f>
        <v>74820</v>
      </c>
      <c r="L148" s="17">
        <f>'Datos Actividad'!$AA144*'FE Sectorial'!$H147*'FE Sectorial'!M147/1000/1000</f>
        <v>62350</v>
      </c>
      <c r="M148" s="17">
        <f>'Datos Actividad'!$AA144*'FE Sectorial'!$H147*'FE Sectorial'!N147/1000/1000</f>
        <v>12470</v>
      </c>
      <c r="N148" s="17">
        <f>'Datos Actividad'!$AA144*'FE Sectorial'!$H147*'FE Sectorial'!O147/1000/1000</f>
        <v>2262</v>
      </c>
      <c r="O148" s="87">
        <f>IF(D148&lt;400,H148+I148*'Factores generales'!$M$41+J148*'Factores generales'!$N$41,I148*'Factores generales'!$M$41+J148*'Factores generales'!$N$41)</f>
        <v>4589458.8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Actividad'!$AA145*'FE Sectorial'!$H148*'FE Sectorial'!I148*'FE Sectorial'!P148/1000</f>
        <v>0</v>
      </c>
      <c r="I149" s="17">
        <f>'Datos Actividad'!$AA145*'FE Sectorial'!$H148*'FE Sectorial'!J148/1000/1000</f>
        <v>0</v>
      </c>
      <c r="J149" s="17">
        <f>'Datos Actividad'!$AA145*'FE Sectorial'!$H148*'FE Sectorial'!K148/1000/1000</f>
        <v>0</v>
      </c>
      <c r="K149" s="17">
        <f>'Datos Actividad'!$AA145*'FE Sectorial'!$H148*'FE Sectorial'!L148/1000/1000</f>
        <v>0</v>
      </c>
      <c r="L149" s="17">
        <f>'Datos Actividad'!$AA145*'FE Sectorial'!$H148*'FE Sectorial'!M148/1000/1000</f>
        <v>0</v>
      </c>
      <c r="M149" s="17">
        <f>'Datos Actividad'!$AA145*'FE Sectorial'!$H148*'FE Sectorial'!N148/1000/1000</f>
        <v>0</v>
      </c>
      <c r="N149" s="17">
        <f>'Datos Actividad'!$AA145*'FE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Actividad'!$AA147*'FE Sectorial'!$H150*'FE Sectorial'!I150*'FE Sectorial'!P150/1000</f>
        <v>0</v>
      </c>
      <c r="I151" s="134">
        <f>'Datos Actividad'!$AA147*'FE Sectorial'!$H150*'FE Sectorial'!J150/1000/1000</f>
        <v>0</v>
      </c>
      <c r="J151" s="134">
        <f>'Datos Actividad'!$AA147*'FE Sectorial'!$H150*'FE Sectorial'!K150/1000/1000</f>
        <v>0</v>
      </c>
      <c r="K151" s="134">
        <f>'Datos Actividad'!$AA147*'FE Sectorial'!$H150*'FE Sectorial'!L150/1000/1000</f>
        <v>0</v>
      </c>
      <c r="L151" s="134">
        <f>'Datos Actividad'!$AA147*'FE Sectorial'!$H150*'FE Sectorial'!M150/1000/1000</f>
        <v>0</v>
      </c>
      <c r="M151" s="134">
        <f>'Datos Actividad'!$AA147*'FE Sectorial'!$H150*'FE Sectorial'!N150/1000/1000</f>
        <v>0</v>
      </c>
      <c r="N151" s="134">
        <f>'Datos Actividad'!$AA147*'FE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Actividad'!$AA148*'FE Sectorial'!$H151*'FE Sectorial'!I151*'FE Sectorial'!P151/1000</f>
        <v>0</v>
      </c>
      <c r="I152" s="134">
        <f>'Datos Actividad'!$AA148*'FE Sectorial'!$H151*'FE Sectorial'!J151/1000/1000</f>
        <v>0</v>
      </c>
      <c r="J152" s="134">
        <f>'Datos Actividad'!$AA148*'FE Sectorial'!$H151*'FE Sectorial'!K151/1000/1000</f>
        <v>0</v>
      </c>
      <c r="K152" s="134">
        <f>'Datos Actividad'!$AA148*'FE Sectorial'!$H151*'FE Sectorial'!L151/1000/1000</f>
        <v>0</v>
      </c>
      <c r="L152" s="134">
        <f>'Datos Actividad'!$AA148*'FE Sectorial'!$H151*'FE Sectorial'!M151/1000/1000</f>
        <v>0</v>
      </c>
      <c r="M152" s="134">
        <f>'Datos Actividad'!$AA148*'FE Sectorial'!$H151*'FE Sectorial'!N151/1000/1000</f>
        <v>0</v>
      </c>
      <c r="N152" s="134">
        <f>'Datos Actividad'!$AA148*'FE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2907574.3820850099</v>
      </c>
      <c r="I153" s="124">
        <f t="shared" ref="I153:N153" si="41">I154+I168</f>
        <v>196128.1267389195</v>
      </c>
      <c r="J153" s="124">
        <f t="shared" si="41"/>
        <v>22.664772504278019</v>
      </c>
      <c r="K153" s="124">
        <f t="shared" si="41"/>
        <v>1323.9016738782173</v>
      </c>
      <c r="L153" s="124">
        <f t="shared" si="41"/>
        <v>2118.23504</v>
      </c>
      <c r="M153" s="124">
        <f t="shared" si="41"/>
        <v>88643.757443664217</v>
      </c>
      <c r="N153" s="124">
        <f t="shared" si="41"/>
        <v>21182.350399999999</v>
      </c>
      <c r="O153" s="124">
        <f>IF(D153&lt;400,H153+I153*'Factores generales'!$M$41+J153*'Factores generales'!$N$41,I153*'Factores generales'!$M$41+J153*'Factores generales'!$N$41)</f>
        <v>7033291.1230786452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2907574.3820850099</v>
      </c>
      <c r="I168" s="129">
        <f t="shared" ref="I168:O168" si="44">I169+I188+I204</f>
        <v>193416.53535856045</v>
      </c>
      <c r="J168" s="129">
        <f t="shared" si="44"/>
        <v>22.664772504278019</v>
      </c>
      <c r="K168" s="129">
        <f t="shared" si="44"/>
        <v>1323.9016738782173</v>
      </c>
      <c r="L168" s="129">
        <f t="shared" si="44"/>
        <v>2118.23504</v>
      </c>
      <c r="M168" s="129">
        <f t="shared" si="44"/>
        <v>88643.757443664217</v>
      </c>
      <c r="N168" s="129">
        <f t="shared" si="44"/>
        <v>21182.350399999999</v>
      </c>
      <c r="O168" s="129">
        <f t="shared" si="44"/>
        <v>6976347.7040911065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27860.235908530809</v>
      </c>
      <c r="I169" s="134">
        <f t="shared" ref="I169:O169" si="45">SUM(I170:I187)</f>
        <v>9760.1584096463121</v>
      </c>
      <c r="J169" s="134">
        <f t="shared" si="45"/>
        <v>0.19363508772947119</v>
      </c>
      <c r="K169" s="134">
        <f t="shared" si="45"/>
        <v>1323.9016738782173</v>
      </c>
      <c r="L169" s="134">
        <f t="shared" si="45"/>
        <v>2118.23504</v>
      </c>
      <c r="M169" s="134">
        <f t="shared" si="45"/>
        <v>60505.115651745502</v>
      </c>
      <c r="N169" s="134">
        <f t="shared" si="45"/>
        <v>21182.350399999999</v>
      </c>
      <c r="O169" s="134">
        <f t="shared" si="45"/>
        <v>232883.5893882995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Actividad'!$AA167*'FE Sectorial'!I170*1000</f>
        <v>891.89889935484689</v>
      </c>
      <c r="I171" s="92">
        <f>'Datos Actividad'!$AA167*'FE Sectorial'!J170*1000</f>
        <v>18.938872826544994</v>
      </c>
      <c r="J171" s="92">
        <f>'Datos Actividad'!$AA167*'FE Sectorial'!K170*1000</f>
        <v>6.5639012789651249E-3</v>
      </c>
      <c r="K171" s="92">
        <f>'Datos Actividad'!$AA167*'FE Sectorial'!L170*1000</f>
        <v>0</v>
      </c>
      <c r="L171" s="92">
        <f>'Datos Actividad'!$AA167*'FE Sectorial'!M170*1000</f>
        <v>0</v>
      </c>
      <c r="M171" s="92">
        <f>'Datos Actividad'!$AA167*'FE Sectorial'!N170*1000</f>
        <v>2.9182806353266226</v>
      </c>
      <c r="N171" s="92">
        <f>'Datos Actividad'!$AA167*'FE Sectorial'!O170*1000</f>
        <v>0</v>
      </c>
      <c r="O171" s="87">
        <f>IF(D171&lt;400,H171+I171*'Factores generales'!$M$41+J171*'Factores generales'!$N$41,I171*'Factores generales'!$M$41+J171*'Factores generales'!$N$41)</f>
        <v>1291.650038108771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Actividad'!$AA168*'FE Sectorial'!I171*1000</f>
        <v>2527.0468815053991</v>
      </c>
      <c r="I172" s="92">
        <f>'Datos Actividad'!$AA168*'FE Sectorial'!J171*1000</f>
        <v>53.660139675210814</v>
      </c>
      <c r="J172" s="92">
        <f>'Datos Actividad'!$AA168*'FE Sectorial'!K171*1000</f>
        <v>1.8597720290401187E-2</v>
      </c>
      <c r="K172" s="92">
        <f>'Datos Actividad'!$AA168*'FE Sectorial'!L171*1000</f>
        <v>0</v>
      </c>
      <c r="L172" s="92">
        <f>'Datos Actividad'!$AA168*'FE Sectorial'!M171*1000</f>
        <v>0</v>
      </c>
      <c r="M172" s="92">
        <f>'Datos Actividad'!$AA168*'FE Sectorial'!N171*1000</f>
        <v>8.2684618000920977</v>
      </c>
      <c r="N172" s="92">
        <f>'Datos Actividad'!$AA168*'FE Sectorial'!O171*1000</f>
        <v>0</v>
      </c>
      <c r="O172" s="87">
        <f>IF(D172&lt;400,H172+I172*'Factores generales'!$M$41+J172*'Factores generales'!$N$41,I172*'Factores generales'!$M$41+J172*'Factores generales'!$N$41)</f>
        <v>3659.6751079748506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Actividad'!$AA169*'FE Sectorial'!I172*1000</f>
        <v>22892.071750107734</v>
      </c>
      <c r="I173" s="92">
        <f>'Datos Actividad'!$AA169*'FE Sectorial'!J172*1000</f>
        <v>486.09773588132151</v>
      </c>
      <c r="J173" s="92">
        <f>'Datos Actividad'!$AA169*'FE Sectorial'!K172*1000</f>
        <v>0.16847346616010486</v>
      </c>
      <c r="K173" s="92">
        <f>'Datos Actividad'!$AA169*'FE Sectorial'!L172*1000</f>
        <v>0</v>
      </c>
      <c r="L173" s="92">
        <f>'Datos Actividad'!$AA169*'FE Sectorial'!M172*1000</f>
        <v>0</v>
      </c>
      <c r="M173" s="92">
        <f>'Datos Actividad'!$AA169*'FE Sectorial'!N172*1000</f>
        <v>74.902536306716655</v>
      </c>
      <c r="N173" s="92">
        <f>'Datos Actividad'!$AA169*'FE Sectorial'!O172*1000</f>
        <v>0</v>
      </c>
      <c r="O173" s="87">
        <f>IF(D173&lt;400,H173+I173*'Factores generales'!$M$41+J173*'Factores generales'!$N$41,I173*'Factores generales'!$M$41+J173*'Factores generales'!$N$41)</f>
        <v>33152.35097812512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Actividad'!$AA171*'FE Sectorial'!I174</f>
        <v>609.04754598704119</v>
      </c>
      <c r="I175" s="92">
        <f>'Datos Actividad'!$AA171*'FE Sectorial'!J174</f>
        <v>8401.2107999999989</v>
      </c>
      <c r="J175" s="92">
        <f>'Datos Actividad'!$AA171*'FE Sectorial'!K174</f>
        <v>0</v>
      </c>
      <c r="K175" s="92">
        <f>'Datos Actividad'!$AA171*'FE Sectorial'!L174</f>
        <v>0</v>
      </c>
      <c r="L175" s="92">
        <f>'Datos Actividad'!$AA171*'FE Sectorial'!M174</f>
        <v>0</v>
      </c>
      <c r="M175" s="92">
        <f>'Datos Actividad'!$AA171*'FE Sectorial'!N174</f>
        <v>10289.33984077963</v>
      </c>
      <c r="N175" s="92">
        <f>'Datos Actividad'!$AA171*'FE Sectorial'!O174</f>
        <v>0</v>
      </c>
      <c r="O175" s="87">
        <f>IF(D175&lt;400,H175+I175*'Factores generales'!$M$41+J175*'Factores generales'!$N$41,I175*'Factores generales'!$M$41+J175*'Factores generales'!$N$41)</f>
        <v>177034.47434598702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Actividad'!$AA173*'FE Sectorial'!I176</f>
        <v>0</v>
      </c>
      <c r="I177" s="92">
        <f>'Datos Actividad'!$AA173*'FE Sectorial'!J176</f>
        <v>377.210076432525</v>
      </c>
      <c r="J177" s="92">
        <f>'Datos Actividad'!$AA173*'FE Sectorial'!K176</f>
        <v>0</v>
      </c>
      <c r="K177" s="92">
        <f>'Datos Actividad'!$AA173*'FE Sectorial'!L176</f>
        <v>0</v>
      </c>
      <c r="L177" s="92">
        <f>'Datos Actividad'!$AA173*'FE Sectorial'!M176</f>
        <v>0</v>
      </c>
      <c r="M177" s="92">
        <f>'Datos Actividad'!$AA173*'FE Sectorial'!N176</f>
        <v>0</v>
      </c>
      <c r="N177" s="92">
        <f>'Datos Actividad'!$AA173*'FE Sectorial'!O176</f>
        <v>0</v>
      </c>
      <c r="O177" s="87">
        <f>IF(D177&lt;400,H177+I177*'Factores generales'!$M$41+J177*'Factores generales'!$N$41,I177*'Factores generales'!$M$41+J177*'Factores generales'!$N$41)</f>
        <v>7921.4116050830253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Actividad'!$AA174*'FE Sectorial'!I177</f>
        <v>7.0946345399999995</v>
      </c>
      <c r="I178" s="92">
        <f>'Datos Actividad'!$AA174*'FE Sectorial'!J177</f>
        <v>78.185768400000001</v>
      </c>
      <c r="J178" s="92">
        <f>'Datos Actividad'!$AA174*'FE Sectorial'!K177</f>
        <v>0</v>
      </c>
      <c r="K178" s="92">
        <f>'Datos Actividad'!$AA174*'FE Sectorial'!L177</f>
        <v>0</v>
      </c>
      <c r="L178" s="92">
        <f>'Datos Actividad'!$AA174*'FE Sectorial'!M177</f>
        <v>0</v>
      </c>
      <c r="M178" s="92">
        <f>'Datos Actividad'!$AA174*'FE Sectorial'!N177</f>
        <v>781.85768400000006</v>
      </c>
      <c r="N178" s="92">
        <f>'Datos Actividad'!$AA174*'FE Sectorial'!O177</f>
        <v>0</v>
      </c>
      <c r="O178" s="87">
        <f>IF(D178&lt;400,H178+I178*'Factores generales'!$M$41+J178*'Factores generales'!$N$41,I178*'Factores generales'!$M$41+J178*'Factores generales'!$N$41)</f>
        <v>1648.9957709400001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Actividad'!$AA177*'FE Sectorial'!I180</f>
        <v>0</v>
      </c>
      <c r="I181" s="92">
        <f>'Datos Actividad'!$AA177*'FE Sectorial'!J180</f>
        <v>273.37749724147847</v>
      </c>
      <c r="J181" s="92">
        <f>'Datos Actividad'!$AA177*'FE Sectorial'!K180</f>
        <v>0</v>
      </c>
      <c r="K181" s="92">
        <f>'Datos Actividad'!$AA177*'FE Sectorial'!L180</f>
        <v>1323.8969</v>
      </c>
      <c r="L181" s="92">
        <f>'Datos Actividad'!$AA177*'FE Sectorial'!M180</f>
        <v>2118.23504</v>
      </c>
      <c r="M181" s="92">
        <f>'Datos Actividad'!$AA177*'FE Sectorial'!N180</f>
        <v>34421.3194</v>
      </c>
      <c r="N181" s="92">
        <f>'Datos Actividad'!$AA177*'FE Sectorial'!O180</f>
        <v>21182.350399999999</v>
      </c>
      <c r="O181" s="87">
        <f>IF(D181&lt;400,H181+I181*'Factores generales'!$M$41+J181*'Factores generales'!$N$41,I181*'Factores generales'!$M$41+J181*'Factores generales'!$N$41)</f>
        <v>5740.9274420710481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Actividad'!$AA179*'FE Sectorial'!I182</f>
        <v>0</v>
      </c>
      <c r="I183" s="92">
        <f>'Datos Actividad'!$AA179*'FE Sectorial'!J182</f>
        <v>71.47751918923278</v>
      </c>
      <c r="J183" s="92">
        <f>'Datos Actividad'!$AA179*'FE Sectorial'!K182</f>
        <v>0</v>
      </c>
      <c r="K183" s="92">
        <f>'Datos Actividad'!$AA179*'FE Sectorial'!L182</f>
        <v>0</v>
      </c>
      <c r="L183" s="92">
        <f>'Datos Actividad'!$AA179*'FE Sectorial'!M182</f>
        <v>0</v>
      </c>
      <c r="M183" s="92">
        <f>'Datos Actividad'!$AA179*'FE Sectorial'!N182</f>
        <v>0</v>
      </c>
      <c r="N183" s="92">
        <f>'Datos Actividad'!$AA179*'FE Sectorial'!O182</f>
        <v>0</v>
      </c>
      <c r="O183" s="87">
        <f>IF(D183&lt;400,H183+I183*'Factores generales'!$M$41+J183*'Factores generales'!$N$41,I183*'Factores generales'!$M$41+J183*'Factores generales'!$N$41)</f>
        <v>1501.0279029738883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Actividad'!$AA181*'FE Sectorial'!I184</f>
        <v>0</v>
      </c>
      <c r="I185" s="92">
        <f>'Datos Actividad'!$AA181*'FE Sectorial'!J184</f>
        <v>0</v>
      </c>
      <c r="J185" s="92">
        <f>'Datos Actividad'!$AA181*'FE Sectorial'!K184</f>
        <v>0</v>
      </c>
      <c r="K185" s="92">
        <f>'Datos Actividad'!$AA181*'FE Sectorial'!L184</f>
        <v>0</v>
      </c>
      <c r="L185" s="92">
        <f>'Datos Actividad'!$AA181*'FE Sectorial'!M184</f>
        <v>0</v>
      </c>
      <c r="M185" s="92">
        <f>'Datos Actividad'!$AA181*'FE Sectorial'!N184</f>
        <v>14926.509448223735</v>
      </c>
      <c r="N185" s="92">
        <f>'Datos Actividad'!$AA181*'FE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Actividad'!$AA182*'FE Sectorial'!I185</f>
        <v>933.07619703578985</v>
      </c>
      <c r="I186" s="92">
        <f>'Datos Actividad'!$AA182*'FE Sectorial'!J185</f>
        <v>0</v>
      </c>
      <c r="J186" s="92">
        <f>'Datos Actividad'!$AA182*'FE Sectorial'!K185</f>
        <v>0</v>
      </c>
      <c r="K186" s="92">
        <f>'Datos Actividad'!$AA182*'FE Sectorial'!L185</f>
        <v>4.7738782173924136E-3</v>
      </c>
      <c r="L186" s="92">
        <f>'Datos Actividad'!$AA182*'FE Sectorial'!M185</f>
        <v>0</v>
      </c>
      <c r="M186" s="92">
        <f>'Datos Actividad'!$AA182*'FE Sectorial'!N185</f>
        <v>0</v>
      </c>
      <c r="N186" s="92">
        <f>'Datos Actividad'!$AA182*'FE Sectorial'!O185</f>
        <v>0</v>
      </c>
      <c r="O186" s="87">
        <f>IF(D186&lt;400,H186+I186*'Factores generales'!$M$41+J186*'Factores generales'!$N$41,I186*'Factores generales'!$M$41+J186*'Factores generales'!$N$41)</f>
        <v>933.07619703578985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3103.8780675107073</v>
      </c>
      <c r="I188" s="134">
        <f t="shared" ref="I188:O188" si="46">SUM(I189:I203)</f>
        <v>155370.13580783064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13134.497301754809</v>
      </c>
      <c r="N188" s="134">
        <f t="shared" si="46"/>
        <v>0</v>
      </c>
      <c r="O188" s="134">
        <f t="shared" si="46"/>
        <v>3265876.7300319541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Actividad'!$AA187*'FE Sectorial'!I190</f>
        <v>1155.4902628787488</v>
      </c>
      <c r="I191" s="92">
        <f>'Datos Actividad'!$AA187*'FE Sectorial'!J190</f>
        <v>69512.584957921601</v>
      </c>
      <c r="J191" s="92">
        <f>'Datos Actividad'!$AA187*'FE Sectorial'!K190</f>
        <v>0</v>
      </c>
      <c r="K191" s="92">
        <f>'Datos Actividad'!$AA187*'FE Sectorial'!L190</f>
        <v>0</v>
      </c>
      <c r="L191" s="92">
        <f>'Datos Actividad'!$AA187*'FE Sectorial'!M190</f>
        <v>0</v>
      </c>
      <c r="M191" s="92">
        <f>'Datos Actividad'!$AA187*'FE Sectorial'!N190</f>
        <v>7606.368103744564</v>
      </c>
      <c r="N191" s="92">
        <f>'Datos Actividad'!$AA187*'FE Sectorial'!O190</f>
        <v>0</v>
      </c>
      <c r="O191" s="87">
        <f>IF(D191&lt;400,H191+I191*'Factores generales'!$M$41+J191*'Factores generales'!$N$41,I191*'Factores generales'!$M$41+J191*'Factores generales'!$N$41)</f>
        <v>1460919.7743792324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Actividad'!$AA189*'FE Sectorial'!I192</f>
        <v>421.9253879708433</v>
      </c>
      <c r="I193" s="92">
        <f>'Datos Actividad'!$AA189*'FE Sectorial'!J192</f>
        <v>5274.067349635543</v>
      </c>
      <c r="J193" s="92">
        <f>'Datos Actividad'!$AA189*'FE Sectorial'!K192</f>
        <v>0</v>
      </c>
      <c r="K193" s="92">
        <f>'Datos Actividad'!$AA189*'FE Sectorial'!L192</f>
        <v>0</v>
      </c>
      <c r="L193" s="92">
        <f>'Datos Actividad'!$AA189*'FE Sectorial'!M192</f>
        <v>0</v>
      </c>
      <c r="M193" s="92">
        <f>'Datos Actividad'!$AA189*'FE Sectorial'!N192</f>
        <v>4871.9747264580737</v>
      </c>
      <c r="N193" s="92">
        <f>'Datos Actividad'!$AA189*'FE Sectorial'!O192</f>
        <v>0</v>
      </c>
      <c r="O193" s="87">
        <f>IF(D193&lt;400,H193+I193*'Factores generales'!$M$41+J193*'Factores generales'!$N$41,I193*'Factores generales'!$M$41+J193*'Factores generales'!$N$41)</f>
        <v>111177.33973031724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Actividad'!$AA192*'FE Sectorial'!I195</f>
        <v>31.102942845448414</v>
      </c>
      <c r="I196" s="92">
        <f>'Datos Actividad'!$AA192*'FE Sectorial'!J195</f>
        <v>9677.4460441385072</v>
      </c>
      <c r="J196" s="92">
        <f>'Datos Actividad'!$AA192*'FE Sectorial'!K195</f>
        <v>0</v>
      </c>
      <c r="K196" s="92">
        <f>'Datos Actividad'!$AA192*'FE Sectorial'!L195</f>
        <v>0</v>
      </c>
      <c r="L196" s="92">
        <f>'Datos Actividad'!$AA192*'FE Sectorial'!M195</f>
        <v>0</v>
      </c>
      <c r="M196" s="92">
        <f>'Datos Actividad'!$AA192*'FE Sectorial'!N195</f>
        <v>231.42955239979199</v>
      </c>
      <c r="N196" s="92">
        <f>'Datos Actividad'!$AA192*'FE Sectorial'!O195</f>
        <v>0</v>
      </c>
      <c r="O196" s="87">
        <f>IF(D196&lt;400,H196+I196*'Factores generales'!$M$41+J196*'Factores generales'!$N$41,I196*'Factores generales'!$M$41+J196*'Factores generales'!$N$41)</f>
        <v>203257.46986975407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Actividad'!$AA194*'FE Sectorial'!I197</f>
        <v>1495.3594738156664</v>
      </c>
      <c r="I198" s="92">
        <f>'Datos Actividad'!$AA194*'FE Sectorial'!J197</f>
        <v>29346.941582134976</v>
      </c>
      <c r="J198" s="92">
        <f>'Datos Actividad'!$AA194*'FE Sectorial'!K197</f>
        <v>0</v>
      </c>
      <c r="K198" s="92">
        <f>'Datos Actividad'!$AA194*'FE Sectorial'!L197</f>
        <v>0</v>
      </c>
      <c r="L198" s="92">
        <f>'Datos Actividad'!$AA194*'FE Sectorial'!M197</f>
        <v>0</v>
      </c>
      <c r="M198" s="92">
        <f>'Datos Actividad'!$AA194*'FE Sectorial'!N197</f>
        <v>424.72491915238072</v>
      </c>
      <c r="N198" s="92">
        <f>'Datos Actividad'!$AA194*'FE Sectorial'!O197</f>
        <v>0</v>
      </c>
      <c r="O198" s="87">
        <f>IF(D198&lt;400,H198+I198*'Factores generales'!$M$41+J198*'Factores generales'!$N$41,I198*'Factores generales'!$M$41+J198*'Factores generales'!$N$41)</f>
        <v>617781.13269865012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Actividad'!$AA197*'FE Sectorial'!I200</f>
        <v>0</v>
      </c>
      <c r="I201" s="92">
        <f>'Datos Actividad'!$AA197*'FE Sectorial'!J200</f>
        <v>32359.301058000001</v>
      </c>
      <c r="J201" s="92">
        <f>'Datos Actividad'!$AA197*'FE Sectorial'!K200</f>
        <v>0</v>
      </c>
      <c r="K201" s="92">
        <f>'Datos Actividad'!$AA197*'FE Sectorial'!L200</f>
        <v>0</v>
      </c>
      <c r="L201" s="92">
        <f>'Datos Actividad'!$AA197*'FE Sectorial'!M200</f>
        <v>0</v>
      </c>
      <c r="M201" s="92">
        <f>'Datos Actividad'!$AA197*'FE Sectorial'!N200</f>
        <v>0</v>
      </c>
      <c r="N201" s="92">
        <f>'Datos Actividad'!$AA197*'FE Sectorial'!O200</f>
        <v>0</v>
      </c>
      <c r="O201" s="87">
        <f>IF(D201&lt;400,H201+I201*'Factores generales'!$M$41+J201*'Factores generales'!$N$41,I201*'Factores generales'!$M$41+J201*'Factores generales'!$N$41)</f>
        <v>679545.32221800007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Actividad'!$AA199*'FE Sectorial'!I202</f>
        <v>0</v>
      </c>
      <c r="I203" s="92">
        <f>'Datos Actividad'!$AA199*'FE Sectorial'!J202</f>
        <v>9199.7948159999996</v>
      </c>
      <c r="J203" s="92">
        <f>'Datos Actividad'!$AA199*'FE Sectorial'!K202</f>
        <v>0</v>
      </c>
      <c r="K203" s="92">
        <f>'Datos Actividad'!$AA199*'FE Sectorial'!L202</f>
        <v>0</v>
      </c>
      <c r="L203" s="92">
        <f>'Datos Actividad'!$AA199*'FE Sectorial'!M202</f>
        <v>0</v>
      </c>
      <c r="M203" s="92">
        <f>'Datos Actividad'!$AA199*'FE Sectorial'!N202</f>
        <v>0</v>
      </c>
      <c r="N203" s="92">
        <f>'Datos Actividad'!$AA199*'FE Sectorial'!O202</f>
        <v>0</v>
      </c>
      <c r="O203" s="87">
        <f>IF(D203&lt;400,H203+I203*'Factores generales'!$M$41+J203*'Factores generales'!$N$41,I203*'Factores generales'!$M$41+J203*'Factores generales'!$N$41)</f>
        <v>193195.69113599998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2876610.2681089686</v>
      </c>
      <c r="I204" s="134">
        <f t="shared" ref="I204:O204" si="47">SUM(I205:I221)</f>
        <v>28286.241141083516</v>
      </c>
      <c r="J204" s="134">
        <f t="shared" si="47"/>
        <v>22.471137416548547</v>
      </c>
      <c r="K204" s="134">
        <f t="shared" si="47"/>
        <v>0</v>
      </c>
      <c r="L204" s="134">
        <f t="shared" si="47"/>
        <v>0</v>
      </c>
      <c r="M204" s="134">
        <f t="shared" si="47"/>
        <v>15004.14449016391</v>
      </c>
      <c r="N204" s="134">
        <f t="shared" si="47"/>
        <v>0</v>
      </c>
      <c r="O204" s="134">
        <f t="shared" si="47"/>
        <v>3477587.3846708527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Actividad'!$AA203*'FE Sectorial'!I206</f>
        <v>3112.1040308403585</v>
      </c>
      <c r="I207" s="92">
        <f>'Datos Actividad'!$AA203*'FE Sectorial'!J206</f>
        <v>23643.102922751281</v>
      </c>
      <c r="J207" s="92">
        <f>'Datos Actividad'!$AA203*'FE Sectorial'!K206</f>
        <v>0</v>
      </c>
      <c r="K207" s="92">
        <f>'Datos Actividad'!$AA203*'FE Sectorial'!L206</f>
        <v>0</v>
      </c>
      <c r="L207" s="92">
        <f>'Datos Actividad'!$AA203*'FE Sectorial'!M206</f>
        <v>0</v>
      </c>
      <c r="M207" s="92">
        <f>'Datos Actividad'!$AA203*'FE Sectorial'!N206</f>
        <v>14105.25236895088</v>
      </c>
      <c r="N207" s="92">
        <f>'Datos Actividad'!$AA203*'FE Sectorial'!O206</f>
        <v>0</v>
      </c>
      <c r="O207" s="87">
        <f>IF(D207&lt;400,H207+I207*'Factores generales'!$M$41+J207*'Factores generales'!$N$41,I207*'Factores generales'!$M$41+J207*'Factores generales'!$N$41)</f>
        <v>499617.26540861721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 x14ac:dyDescent="0.25">
      <c r="A209" s="20"/>
      <c r="E209" s="27" t="s">
        <v>17</v>
      </c>
      <c r="F209" s="27" t="s">
        <v>127</v>
      </c>
      <c r="H209" s="92">
        <f>'Datos Actividad'!$AA205*'FE Sectorial'!I208</f>
        <v>1341858.0290538277</v>
      </c>
      <c r="I209" s="92">
        <f>'Datos Actividad'!$AA205*'FE Sectorial'!J208</f>
        <v>816.45093388758016</v>
      </c>
      <c r="J209" s="92">
        <f>'Datos Actividad'!$AA205*'FE Sectorial'!K208</f>
        <v>21.01609148689003</v>
      </c>
      <c r="K209" s="92">
        <f>'Datos Actividad'!$AA205*'FE Sectorial'!L208</f>
        <v>0</v>
      </c>
      <c r="L209" s="92">
        <f>'Datos Actividad'!$AA205*'FE Sectorial'!M208</f>
        <v>0</v>
      </c>
      <c r="M209" s="92">
        <f>'Datos Actividad'!$AA205*'FE Sectorial'!N208</f>
        <v>691.08151014491864</v>
      </c>
      <c r="N209" s="92">
        <f>'Datos Actividad'!$AA205*'FE Sectorial'!O208</f>
        <v>0</v>
      </c>
      <c r="O209" s="87">
        <f>IF(D209&lt;400,H209+I209*'Factores generales'!$M$41+J209*'Factores generales'!$N$41,I209*'Factores generales'!$M$41+J209*'Factores generales'!$N$41)</f>
        <v>1365518.4870264027</v>
      </c>
    </row>
    <row r="210" spans="1:16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 x14ac:dyDescent="0.25">
      <c r="A213" s="20"/>
      <c r="B213" s="28"/>
      <c r="E213" s="27" t="s">
        <v>17</v>
      </c>
      <c r="F213" s="11" t="s">
        <v>8</v>
      </c>
      <c r="H213" s="92">
        <f>'Datos Actividad'!$AA209*'FE Sectorial'!I212</f>
        <v>1418919.6987397766</v>
      </c>
      <c r="I213" s="92">
        <f>'Datos Actividad'!$AA209*'FE Sectorial'!J212</f>
        <v>0</v>
      </c>
      <c r="J213" s="92">
        <f>'Datos Actividad'!$AA209*'FE Sectorial'!K212</f>
        <v>0</v>
      </c>
      <c r="K213" s="92">
        <f>'Datos Actividad'!$AA209*'FE Sectorial'!L212</f>
        <v>0</v>
      </c>
      <c r="L213" s="92">
        <f>'Datos Actividad'!$AA209*'FE Sectorial'!M212</f>
        <v>0</v>
      </c>
      <c r="M213" s="92">
        <f>'Datos Actividad'!$AA209*'FE Sectorial'!N212</f>
        <v>0</v>
      </c>
      <c r="N213" s="92">
        <f>'Datos Actividad'!$AA209*'FE Sectorial'!O212</f>
        <v>0</v>
      </c>
      <c r="O213" s="87">
        <f>IF(D213&lt;400,H213+I213*'Factores generales'!$M$41+J213*'Factores generales'!$N$41,I213*'Factores generales'!$M$41+J213*'Factores generales'!$N$41)</f>
        <v>1418919.6987397766</v>
      </c>
    </row>
    <row r="214" spans="1:16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 x14ac:dyDescent="0.25">
      <c r="A215" s="20"/>
      <c r="B215" s="28"/>
      <c r="E215" s="27" t="s">
        <v>164</v>
      </c>
      <c r="F215" s="11" t="s">
        <v>8</v>
      </c>
      <c r="H215" s="92">
        <f>'Datos Actividad'!$AA211*'FE Sectorial'!I214</f>
        <v>98.919136503914146</v>
      </c>
      <c r="I215" s="92">
        <f>'Datos Actividad'!$AA211*'FE Sectorial'!J214</f>
        <v>3752.1503962607903</v>
      </c>
      <c r="J215" s="92">
        <f>'Datos Actividad'!$AA211*'FE Sectorial'!K214</f>
        <v>0</v>
      </c>
      <c r="K215" s="92">
        <f>'Datos Actividad'!$AA211*'FE Sectorial'!L214</f>
        <v>0</v>
      </c>
      <c r="L215" s="92">
        <f>'Datos Actividad'!$AA211*'FE Sectorial'!M214</f>
        <v>0</v>
      </c>
      <c r="M215" s="92">
        <f>'Datos Actividad'!$AA211*'FE Sectorial'!N214</f>
        <v>147.91536790205407</v>
      </c>
      <c r="N215" s="92">
        <f>'Datos Actividad'!$AA211*'FE Sectorial'!O214</f>
        <v>0</v>
      </c>
      <c r="O215" s="87">
        <f>IF(D215&lt;400,H215+I215*'Factores generales'!$M$41+J215*'Factores generales'!$N$41,I215*'Factores generales'!$M$41+J215*'Factores generales'!$N$41)</f>
        <v>78894.077457980515</v>
      </c>
    </row>
    <row r="216" spans="1:16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 x14ac:dyDescent="0.25">
      <c r="A218" s="20"/>
      <c r="B218" s="28"/>
      <c r="E218" s="27" t="s">
        <v>17</v>
      </c>
      <c r="F218" s="11" t="s">
        <v>8</v>
      </c>
      <c r="H218" s="92">
        <f>'Datos Actividad'!$AA214*'FE Sectorial'!I217</f>
        <v>31894.56138272271</v>
      </c>
      <c r="I218" s="92">
        <f>'Datos Actividad'!$AA214*'FE Sectorial'!J217</f>
        <v>20.066554818761382</v>
      </c>
      <c r="J218" s="92">
        <f>'Datos Actividad'!$AA214*'FE Sectorial'!K217</f>
        <v>0.56803443763428951</v>
      </c>
      <c r="K218" s="92">
        <f>'Datos Actividad'!$AA214*'FE Sectorial'!L217</f>
        <v>0</v>
      </c>
      <c r="L218" s="92">
        <f>'Datos Actividad'!$AA214*'FE Sectorial'!M217</f>
        <v>0</v>
      </c>
      <c r="M218" s="92">
        <f>'Datos Actividad'!$AA214*'FE Sectorial'!N217</f>
        <v>16.709802904012797</v>
      </c>
      <c r="N218" s="92">
        <f>'Datos Actividad'!$AA214*'FE Sectorial'!O217</f>
        <v>0</v>
      </c>
      <c r="O218" s="87">
        <f>IF(D218&lt;400,H218+I218*'Factores generales'!$M$41+J218*'Factores generales'!$N$41,I218*'Factores generales'!$M$41+J218*'Factores generales'!$N$41)</f>
        <v>32492.049709583327</v>
      </c>
    </row>
    <row r="219" spans="1:16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 x14ac:dyDescent="0.25">
      <c r="A220" s="20"/>
      <c r="E220" s="27" t="s">
        <v>17</v>
      </c>
      <c r="F220" s="11" t="s">
        <v>8</v>
      </c>
      <c r="H220" s="92">
        <f>'Datos Actividad'!$AA216*'FE Sectorial'!I219</f>
        <v>80726.955765297724</v>
      </c>
      <c r="I220" s="92">
        <f>'Datos Actividad'!$AA216*'FE Sectorial'!J219</f>
        <v>54.470333365105979</v>
      </c>
      <c r="J220" s="92">
        <f>'Datos Actividad'!$AA216*'FE Sectorial'!K219</f>
        <v>0.88701149202422969</v>
      </c>
      <c r="K220" s="92">
        <f>'Datos Actividad'!$AA216*'FE Sectorial'!L219</f>
        <v>0</v>
      </c>
      <c r="L220" s="92">
        <f>'Datos Actividad'!$AA216*'FE Sectorial'!M219</f>
        <v>0</v>
      </c>
      <c r="M220" s="92">
        <f>'Datos Actividad'!$AA216*'FE Sectorial'!N219</f>
        <v>43.185440262043052</v>
      </c>
      <c r="N220" s="92">
        <f>'Datos Actividad'!$AA216*'FE Sectorial'!O219</f>
        <v>0</v>
      </c>
      <c r="O220" s="87">
        <f>IF(D220&lt;400,H220+I220*'Factores generales'!$M$41+J220*'Factores generales'!$N$41,I220*'Factores generales'!$M$41+J220*'Factores generales'!$N$41)</f>
        <v>82145.806328492457</v>
      </c>
    </row>
    <row r="221" spans="1:16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6999832.7145242821</v>
      </c>
      <c r="O223" s="23" t="s">
        <v>237</v>
      </c>
      <c r="P223" s="141">
        <f>+N223/7285500-1</f>
        <v>-3.9210388508093885E-2</v>
      </c>
    </row>
    <row r="224" spans="1:16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3395481.3790800665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1355263.3940368865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2040217.9850431799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zoomScale="90" zoomScaleNormal="90" zoomScalePageLayoutView="90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D41" sqref="D41"/>
    </sheetView>
  </sheetViews>
  <sheetFormatPr defaultColWidth="8.85546875" defaultRowHeight="15" x14ac:dyDescent="0.25"/>
  <cols>
    <col min="1" max="1" width="4.28515625" customWidth="1"/>
    <col min="2" max="3" width="4.42578125" bestFit="1" customWidth="1"/>
    <col min="4" max="4" width="36.85546875" customWidth="1"/>
    <col min="5" max="5" width="6.7109375" bestFit="1" customWidth="1"/>
    <col min="6" max="6" width="10" customWidth="1"/>
    <col min="7" max="7" width="14.85546875" bestFit="1" customWidth="1"/>
    <col min="8" max="8" width="12.7109375" customWidth="1"/>
    <col min="9" max="16" width="10" customWidth="1"/>
    <col min="17" max="17" width="9.85546875" bestFit="1" customWidth="1"/>
    <col min="18" max="18" width="3.42578125" customWidth="1"/>
    <col min="19" max="19" width="6.28515625" bestFit="1" customWidth="1"/>
    <col min="20" max="20" width="8.42578125" bestFit="1" customWidth="1"/>
    <col min="21" max="21" width="4.28515625" bestFit="1" customWidth="1"/>
  </cols>
  <sheetData>
    <row r="1" spans="1:21" x14ac:dyDescent="0.25">
      <c r="A1" s="39" t="s">
        <v>187</v>
      </c>
    </row>
    <row r="2" spans="1:21" x14ac:dyDescent="0.25">
      <c r="A2" s="40" t="s">
        <v>166</v>
      </c>
    </row>
    <row r="3" spans="1:21" x14ac:dyDescent="0.25">
      <c r="A3" s="41" t="s">
        <v>34</v>
      </c>
      <c r="D3" s="174" t="s">
        <v>188</v>
      </c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</row>
    <row r="4" spans="1:21" ht="18" x14ac:dyDescent="0.25">
      <c r="A4" s="43" t="s">
        <v>167</v>
      </c>
      <c r="D4" s="174" t="s">
        <v>76</v>
      </c>
      <c r="E4" s="38" t="s">
        <v>189</v>
      </c>
      <c r="F4" s="38" t="s">
        <v>190</v>
      </c>
      <c r="G4" s="38" t="s">
        <v>169</v>
      </c>
      <c r="H4" s="38" t="s">
        <v>169</v>
      </c>
      <c r="I4" s="38" t="s">
        <v>191</v>
      </c>
      <c r="J4" s="38" t="s">
        <v>170</v>
      </c>
      <c r="K4" s="38" t="s">
        <v>171</v>
      </c>
      <c r="L4" s="38" t="s">
        <v>172</v>
      </c>
      <c r="M4" s="38" t="s">
        <v>173</v>
      </c>
      <c r="N4" s="38" t="s">
        <v>174</v>
      </c>
      <c r="O4" s="38" t="s">
        <v>175</v>
      </c>
      <c r="P4" s="38" t="s">
        <v>176</v>
      </c>
      <c r="Q4" s="38" t="s">
        <v>177</v>
      </c>
      <c r="S4" s="140" t="s">
        <v>192</v>
      </c>
      <c r="T4" s="140" t="s">
        <v>265</v>
      </c>
      <c r="U4" s="140" t="s">
        <v>266</v>
      </c>
    </row>
    <row r="5" spans="1:21" ht="18" x14ac:dyDescent="0.25">
      <c r="D5" s="174"/>
      <c r="E5" s="38" t="s">
        <v>2</v>
      </c>
      <c r="F5" s="94" t="s">
        <v>246</v>
      </c>
      <c r="G5" s="94" t="s">
        <v>275</v>
      </c>
      <c r="H5" s="94" t="s">
        <v>245</v>
      </c>
      <c r="I5" s="38" t="s">
        <v>193</v>
      </c>
      <c r="J5" s="38" t="s">
        <v>178</v>
      </c>
      <c r="K5" s="38" t="s">
        <v>194</v>
      </c>
      <c r="L5" s="38" t="s">
        <v>179</v>
      </c>
      <c r="M5" s="38" t="s">
        <v>180</v>
      </c>
      <c r="N5" s="38" t="s">
        <v>181</v>
      </c>
      <c r="O5" s="38" t="s">
        <v>182</v>
      </c>
      <c r="P5" s="38" t="s">
        <v>183</v>
      </c>
      <c r="Q5" s="38"/>
    </row>
    <row r="6" spans="1:21" x14ac:dyDescent="0.25">
      <c r="B6">
        <v>0.2</v>
      </c>
      <c r="C6" s="14">
        <v>101</v>
      </c>
      <c r="D6" s="32" t="s">
        <v>195</v>
      </c>
      <c r="E6" s="44">
        <v>63.7</v>
      </c>
      <c r="F6" s="45">
        <v>1</v>
      </c>
      <c r="G6" s="77">
        <f>H6/$I$45*1000</f>
        <v>6166.3479923518171</v>
      </c>
      <c r="H6" s="73">
        <v>25.8</v>
      </c>
      <c r="I6" s="47">
        <f>J6/44*12</f>
        <v>25.799999999999997</v>
      </c>
      <c r="J6" s="47">
        <v>94.6</v>
      </c>
      <c r="K6" s="48">
        <v>1</v>
      </c>
      <c r="L6" s="49">
        <v>1.5</v>
      </c>
      <c r="M6" s="45"/>
      <c r="N6" s="45"/>
      <c r="O6" s="45"/>
      <c r="P6" s="75">
        <f>2*S6/H6*1000000*(1-T6)*(1-U6)</f>
        <v>368.21705426356584</v>
      </c>
      <c r="Q6" s="50">
        <v>0.98</v>
      </c>
      <c r="S6" s="51">
        <v>5.0000000000000001E-3</v>
      </c>
      <c r="T6" s="51">
        <v>0.05</v>
      </c>
      <c r="U6" s="52"/>
    </row>
    <row r="7" spans="1:21" x14ac:dyDescent="0.25">
      <c r="C7" s="14">
        <v>102</v>
      </c>
      <c r="D7" s="32" t="s">
        <v>196</v>
      </c>
      <c r="E7" s="44">
        <v>76.5</v>
      </c>
      <c r="F7" s="45">
        <v>1</v>
      </c>
      <c r="G7" s="77">
        <f t="shared" ref="G7:G27" si="0">H7/$I$45*1000</f>
        <v>6166.3479923518171</v>
      </c>
      <c r="H7" s="73">
        <v>25.8</v>
      </c>
      <c r="I7" s="47">
        <f t="shared" ref="I7:I32" si="1">J7/44*12</f>
        <v>25.799999999999997</v>
      </c>
      <c r="J7" s="47">
        <v>94.6</v>
      </c>
      <c r="K7" s="48">
        <v>1</v>
      </c>
      <c r="L7" s="49">
        <v>1.5</v>
      </c>
      <c r="M7" s="45"/>
      <c r="N7" s="45"/>
      <c r="O7" s="45"/>
      <c r="P7" s="75">
        <f>2*S7/H7*1000000*(1-T7)*(1-U7)</f>
        <v>1104.6511627906978</v>
      </c>
      <c r="Q7" s="50">
        <v>0.98</v>
      </c>
      <c r="S7" s="51">
        <v>1.4999999999999999E-2</v>
      </c>
      <c r="T7" s="51">
        <v>0.05</v>
      </c>
      <c r="U7" s="52"/>
    </row>
    <row r="8" spans="1:21" x14ac:dyDescent="0.25">
      <c r="C8" s="14">
        <v>103</v>
      </c>
      <c r="D8" s="32" t="s">
        <v>197</v>
      </c>
      <c r="E8" s="44">
        <f t="shared" ref="E8:T11" si="2">E6*$B$6+E7*(1-$B$6)</f>
        <v>73.94</v>
      </c>
      <c r="F8" s="45">
        <f t="shared" si="2"/>
        <v>1</v>
      </c>
      <c r="G8" s="77">
        <f t="shared" si="0"/>
        <v>6166.3479923518171</v>
      </c>
      <c r="H8" s="73">
        <f t="shared" ref="H8" si="3">H6*$B$6+H7*(1-$B$6)</f>
        <v>25.8</v>
      </c>
      <c r="I8" s="47">
        <f t="shared" si="1"/>
        <v>25.799999999999997</v>
      </c>
      <c r="J8" s="47">
        <f t="shared" si="2"/>
        <v>94.6</v>
      </c>
      <c r="K8" s="48">
        <v>1</v>
      </c>
      <c r="L8" s="49">
        <f t="shared" si="2"/>
        <v>1.5000000000000002</v>
      </c>
      <c r="M8" s="45"/>
      <c r="N8" s="45"/>
      <c r="O8" s="45"/>
      <c r="P8" s="75">
        <f t="shared" si="2"/>
        <v>957.36434108527135</v>
      </c>
      <c r="Q8" s="50">
        <v>0.98</v>
      </c>
      <c r="S8" s="51">
        <f t="shared" si="2"/>
        <v>1.3000000000000001E-2</v>
      </c>
      <c r="T8" s="51">
        <f t="shared" si="2"/>
        <v>5.000000000000001E-2</v>
      </c>
      <c r="U8" s="52"/>
    </row>
    <row r="9" spans="1:21" x14ac:dyDescent="0.25">
      <c r="C9" s="14">
        <v>104</v>
      </c>
      <c r="D9" s="32" t="s">
        <v>198</v>
      </c>
      <c r="E9" s="45">
        <v>92.2</v>
      </c>
      <c r="F9" s="53">
        <v>1</v>
      </c>
      <c r="G9" s="77">
        <f t="shared" si="0"/>
        <v>7767.6864244741864</v>
      </c>
      <c r="H9" s="73">
        <v>32.5</v>
      </c>
      <c r="I9" s="47">
        <f t="shared" si="1"/>
        <v>26.59090909090909</v>
      </c>
      <c r="J9" s="47">
        <v>97.5</v>
      </c>
      <c r="K9" s="48">
        <v>1</v>
      </c>
      <c r="L9" s="49">
        <f t="shared" si="2"/>
        <v>1.5000000000000002</v>
      </c>
      <c r="M9" s="45"/>
      <c r="N9" s="45"/>
      <c r="O9" s="45"/>
      <c r="P9" s="75">
        <f t="shared" ref="P9:P34" si="4">2*S9/H9*1000000*(1-T9)*(1-U9)</f>
        <v>0</v>
      </c>
      <c r="Q9" s="50">
        <v>0.98</v>
      </c>
      <c r="S9" s="51"/>
      <c r="T9" s="51"/>
      <c r="U9" s="52"/>
    </row>
    <row r="10" spans="1:21" x14ac:dyDescent="0.25">
      <c r="C10" s="14">
        <v>105</v>
      </c>
      <c r="D10" s="32" t="s">
        <v>199</v>
      </c>
      <c r="E10" s="45">
        <v>1</v>
      </c>
      <c r="F10" s="54">
        <v>1</v>
      </c>
      <c r="G10" s="77">
        <f t="shared" si="0"/>
        <v>6739.9617590822172</v>
      </c>
      <c r="H10" s="73">
        <v>28.2</v>
      </c>
      <c r="I10" s="47">
        <f t="shared" si="1"/>
        <v>29.18181818181818</v>
      </c>
      <c r="J10" s="47">
        <v>107</v>
      </c>
      <c r="K10" s="48">
        <v>1</v>
      </c>
      <c r="L10" s="49">
        <f t="shared" si="2"/>
        <v>1.5000000000000002</v>
      </c>
      <c r="M10" s="45"/>
      <c r="N10" s="45"/>
      <c r="O10" s="45"/>
      <c r="P10" s="75">
        <f t="shared" si="4"/>
        <v>0</v>
      </c>
      <c r="Q10" s="50">
        <v>0.98</v>
      </c>
      <c r="S10" s="51"/>
      <c r="T10" s="51"/>
      <c r="U10" s="52"/>
    </row>
    <row r="11" spans="1:21" x14ac:dyDescent="0.25">
      <c r="C11" s="14">
        <v>106</v>
      </c>
      <c r="D11" s="32" t="s">
        <v>200</v>
      </c>
      <c r="E11" s="46">
        <v>1</v>
      </c>
      <c r="F11" s="53">
        <v>1</v>
      </c>
      <c r="G11" s="77">
        <f t="shared" si="0"/>
        <v>7767.6864244741864</v>
      </c>
      <c r="H11" s="73">
        <v>32.5</v>
      </c>
      <c r="I11" s="47">
        <f t="shared" si="1"/>
        <v>26.59090909090909</v>
      </c>
      <c r="J11" s="55">
        <v>97.5</v>
      </c>
      <c r="K11" s="48">
        <v>1</v>
      </c>
      <c r="L11" s="49">
        <f t="shared" si="2"/>
        <v>1.5000000000000002</v>
      </c>
      <c r="M11" s="46"/>
      <c r="N11" s="46"/>
      <c r="O11" s="46"/>
      <c r="P11" s="75">
        <f t="shared" si="4"/>
        <v>0</v>
      </c>
      <c r="Q11" s="56">
        <v>0.98</v>
      </c>
      <c r="S11" s="51"/>
      <c r="T11" s="51"/>
      <c r="U11" s="52"/>
    </row>
    <row r="12" spans="1:21" x14ac:dyDescent="0.25">
      <c r="C12" s="14">
        <v>201</v>
      </c>
      <c r="D12" s="32" t="s">
        <v>116</v>
      </c>
      <c r="E12" s="57">
        <v>85.3</v>
      </c>
      <c r="F12" s="45">
        <v>0.88500000000000001</v>
      </c>
      <c r="G12" s="77">
        <f t="shared" si="0"/>
        <v>10109.942638623324</v>
      </c>
      <c r="H12" s="73">
        <v>42.3</v>
      </c>
      <c r="I12" s="47">
        <f t="shared" si="1"/>
        <v>19.990909090909089</v>
      </c>
      <c r="J12" s="47">
        <v>73.3</v>
      </c>
      <c r="K12" s="49">
        <v>3</v>
      </c>
      <c r="L12" s="49">
        <v>0.6</v>
      </c>
      <c r="M12" s="45"/>
      <c r="N12" s="45"/>
      <c r="O12" s="45"/>
      <c r="P12" s="75">
        <f t="shared" si="4"/>
        <v>614.65721040189123</v>
      </c>
      <c r="Q12" s="50">
        <v>0.99</v>
      </c>
      <c r="S12" s="51">
        <v>1.2999999999999999E-2</v>
      </c>
      <c r="T12" s="51">
        <v>0</v>
      </c>
      <c r="U12" s="52"/>
    </row>
    <row r="13" spans="1:21" x14ac:dyDescent="0.25">
      <c r="C13" s="14">
        <v>202</v>
      </c>
      <c r="D13" s="32" t="s">
        <v>201</v>
      </c>
      <c r="E13" s="45">
        <v>1</v>
      </c>
      <c r="F13" s="45">
        <v>1</v>
      </c>
      <c r="G13" s="77">
        <f t="shared" si="0"/>
        <v>11233.269598470362</v>
      </c>
      <c r="H13" s="74">
        <f>90%*H19+10%*H20</f>
        <v>47</v>
      </c>
      <c r="I13" s="47">
        <f t="shared" si="1"/>
        <v>17.378181818181819</v>
      </c>
      <c r="J13" s="47">
        <f>90%*J19+10%*J20</f>
        <v>63.72</v>
      </c>
      <c r="K13" s="49">
        <v>3</v>
      </c>
      <c r="L13" s="49">
        <v>0.6</v>
      </c>
      <c r="M13" s="45"/>
      <c r="N13" s="45"/>
      <c r="O13" s="45"/>
      <c r="P13" s="75">
        <f t="shared" si="4"/>
        <v>0</v>
      </c>
      <c r="Q13" s="50">
        <v>0.99</v>
      </c>
      <c r="S13" s="51"/>
      <c r="T13" s="51">
        <v>0</v>
      </c>
      <c r="U13" s="52"/>
    </row>
    <row r="14" spans="1:21" x14ac:dyDescent="0.25">
      <c r="C14" s="14">
        <v>203</v>
      </c>
      <c r="D14" s="32" t="s">
        <v>202</v>
      </c>
      <c r="E14" s="45">
        <v>1</v>
      </c>
      <c r="F14" s="45">
        <v>1</v>
      </c>
      <c r="G14" s="77">
        <f t="shared" si="0"/>
        <v>9608.0305927342251</v>
      </c>
      <c r="H14" s="73">
        <v>40.200000000000003</v>
      </c>
      <c r="I14" s="47">
        <f t="shared" si="1"/>
        <v>22.009090909090911</v>
      </c>
      <c r="J14" s="55">
        <v>80.7</v>
      </c>
      <c r="K14" s="49">
        <v>3</v>
      </c>
      <c r="L14" s="49">
        <v>0.6</v>
      </c>
      <c r="M14" s="45"/>
      <c r="N14" s="45"/>
      <c r="O14" s="45"/>
      <c r="P14" s="75">
        <f t="shared" si="4"/>
        <v>0</v>
      </c>
      <c r="Q14" s="50">
        <v>0.99</v>
      </c>
      <c r="S14" s="51"/>
      <c r="T14" s="51">
        <v>0</v>
      </c>
      <c r="U14" s="52"/>
    </row>
    <row r="15" spans="1:21" x14ac:dyDescent="0.25">
      <c r="C15" s="14">
        <v>204</v>
      </c>
      <c r="D15" s="32" t="s">
        <v>203</v>
      </c>
      <c r="E15" s="45">
        <v>1</v>
      </c>
      <c r="F15" s="45">
        <v>1</v>
      </c>
      <c r="G15" s="77">
        <f t="shared" si="0"/>
        <v>9608.0305927342251</v>
      </c>
      <c r="H15" s="73">
        <v>40.200000000000003</v>
      </c>
      <c r="I15" s="47">
        <f t="shared" si="1"/>
        <v>19.990909090909089</v>
      </c>
      <c r="J15" s="55">
        <v>73.3</v>
      </c>
      <c r="K15" s="49">
        <v>3</v>
      </c>
      <c r="L15" s="49">
        <v>0.6</v>
      </c>
      <c r="M15" s="45"/>
      <c r="N15" s="45"/>
      <c r="O15" s="45"/>
      <c r="P15" s="75">
        <f t="shared" si="4"/>
        <v>0</v>
      </c>
      <c r="Q15" s="50">
        <v>0.99</v>
      </c>
      <c r="S15" s="51"/>
      <c r="T15" s="51">
        <v>0</v>
      </c>
      <c r="U15" s="52"/>
    </row>
    <row r="16" spans="1:21" x14ac:dyDescent="0.25">
      <c r="B16" s="7"/>
      <c r="C16" s="14">
        <v>205</v>
      </c>
      <c r="D16" s="32" t="s">
        <v>204</v>
      </c>
      <c r="E16" s="45">
        <v>1</v>
      </c>
      <c r="F16" s="45">
        <v>1</v>
      </c>
      <c r="G16" s="77">
        <f t="shared" si="0"/>
        <v>9608.0305927342251</v>
      </c>
      <c r="H16" s="74">
        <v>40.200000000000003</v>
      </c>
      <c r="I16" s="47">
        <f t="shared" si="1"/>
        <v>19.990909090909089</v>
      </c>
      <c r="J16" s="55">
        <f>J15</f>
        <v>73.3</v>
      </c>
      <c r="K16" s="49">
        <v>3</v>
      </c>
      <c r="L16" s="49">
        <v>0.6</v>
      </c>
      <c r="M16" s="45"/>
      <c r="N16" s="45"/>
      <c r="O16" s="45"/>
      <c r="P16" s="75">
        <f t="shared" si="4"/>
        <v>0</v>
      </c>
      <c r="Q16" s="50">
        <v>0.99</v>
      </c>
      <c r="S16" s="51"/>
      <c r="T16" s="51">
        <v>0</v>
      </c>
      <c r="U16" s="52"/>
    </row>
    <row r="17" spans="2:21" x14ac:dyDescent="0.25">
      <c r="B17" s="7"/>
      <c r="C17" s="14">
        <v>206</v>
      </c>
      <c r="D17" s="32" t="s">
        <v>102</v>
      </c>
      <c r="E17" s="45">
        <v>86.6</v>
      </c>
      <c r="F17" s="45">
        <v>0.84499999999999997</v>
      </c>
      <c r="G17" s="77">
        <f t="shared" si="0"/>
        <v>10277.246653919694</v>
      </c>
      <c r="H17" s="74">
        <v>43</v>
      </c>
      <c r="I17" s="47">
        <f t="shared" si="1"/>
        <v>20.209090909090907</v>
      </c>
      <c r="J17" s="47">
        <v>74.099999999999994</v>
      </c>
      <c r="K17" s="49">
        <v>3</v>
      </c>
      <c r="L17" s="49">
        <v>0.6</v>
      </c>
      <c r="M17" s="45"/>
      <c r="N17" s="45"/>
      <c r="O17" s="45"/>
      <c r="P17" s="76">
        <f t="shared" si="4"/>
        <v>36.279069767441861</v>
      </c>
      <c r="Q17" s="50">
        <v>0.99</v>
      </c>
      <c r="S17" s="58">
        <v>7.7999999999999999E-4</v>
      </c>
      <c r="T17" s="51">
        <v>0</v>
      </c>
      <c r="U17" s="52"/>
    </row>
    <row r="18" spans="2:21" x14ac:dyDescent="0.25">
      <c r="C18" s="14">
        <v>207</v>
      </c>
      <c r="D18" s="32" t="s">
        <v>88</v>
      </c>
      <c r="E18" s="45">
        <v>87.2</v>
      </c>
      <c r="F18" s="45">
        <v>0.94499999999999995</v>
      </c>
      <c r="G18" s="77">
        <f t="shared" si="0"/>
        <v>9655.831739961759</v>
      </c>
      <c r="H18" s="74">
        <v>40.4</v>
      </c>
      <c r="I18" s="47">
        <f t="shared" si="1"/>
        <v>21.109090909090909</v>
      </c>
      <c r="J18" s="47">
        <v>77.400000000000006</v>
      </c>
      <c r="K18" s="49">
        <v>3</v>
      </c>
      <c r="L18" s="49">
        <v>0.6</v>
      </c>
      <c r="M18" s="45"/>
      <c r="N18" s="45"/>
      <c r="O18" s="45"/>
      <c r="P18" s="76">
        <f t="shared" si="4"/>
        <v>198.01980198019803</v>
      </c>
      <c r="Q18" s="50">
        <v>0.99</v>
      </c>
      <c r="S18" s="58">
        <v>4.0000000000000001E-3</v>
      </c>
      <c r="T18" s="51">
        <v>0</v>
      </c>
      <c r="U18" s="52"/>
    </row>
    <row r="19" spans="2:21" x14ac:dyDescent="0.25">
      <c r="C19" s="14">
        <v>208</v>
      </c>
      <c r="D19" s="32" t="s">
        <v>205</v>
      </c>
      <c r="E19" s="45">
        <v>82.2</v>
      </c>
      <c r="F19" s="45">
        <v>0.53700000000000003</v>
      </c>
      <c r="G19" s="77">
        <f t="shared" si="0"/>
        <v>11304.971319311662</v>
      </c>
      <c r="H19" s="74">
        <v>47.3</v>
      </c>
      <c r="I19" s="47">
        <f t="shared" si="1"/>
        <v>17.209090909090911</v>
      </c>
      <c r="J19" s="47">
        <v>63.1</v>
      </c>
      <c r="K19" s="48">
        <v>1</v>
      </c>
      <c r="L19" s="49">
        <v>0.1</v>
      </c>
      <c r="M19" s="45"/>
      <c r="N19" s="45"/>
      <c r="O19" s="45"/>
      <c r="P19" s="76">
        <f t="shared" si="4"/>
        <v>4.2283298097251594</v>
      </c>
      <c r="Q19" s="50">
        <v>0.99</v>
      </c>
      <c r="S19" s="58">
        <v>1E-4</v>
      </c>
      <c r="T19" s="51">
        <v>0</v>
      </c>
      <c r="U19" s="52"/>
    </row>
    <row r="20" spans="2:21" x14ac:dyDescent="0.25">
      <c r="C20" s="14">
        <v>209</v>
      </c>
      <c r="D20" s="32" t="s">
        <v>206</v>
      </c>
      <c r="E20" s="45">
        <v>86.2</v>
      </c>
      <c r="F20" s="45">
        <v>0.73499999999999999</v>
      </c>
      <c r="G20" s="77">
        <f t="shared" si="0"/>
        <v>10587.954110898661</v>
      </c>
      <c r="H20" s="74">
        <v>44.3</v>
      </c>
      <c r="I20" s="47">
        <f t="shared" si="1"/>
        <v>18.899999999999999</v>
      </c>
      <c r="J20" s="47">
        <v>69.3</v>
      </c>
      <c r="K20" s="49">
        <v>3</v>
      </c>
      <c r="L20" s="49">
        <v>0.6</v>
      </c>
      <c r="M20" s="45"/>
      <c r="N20" s="45"/>
      <c r="O20" s="45"/>
      <c r="P20" s="76">
        <f t="shared" si="4"/>
        <v>4.5146726862302486</v>
      </c>
      <c r="Q20" s="50">
        <v>0.99</v>
      </c>
      <c r="S20" s="58">
        <v>1E-4</v>
      </c>
      <c r="T20" s="51">
        <v>0</v>
      </c>
      <c r="U20" s="52"/>
    </row>
    <row r="21" spans="2:21" x14ac:dyDescent="0.25">
      <c r="C21" s="14">
        <v>210</v>
      </c>
      <c r="D21" s="32" t="s">
        <v>79</v>
      </c>
      <c r="E21" s="45">
        <v>86.4</v>
      </c>
      <c r="F21" s="45">
        <v>0.80800000000000005</v>
      </c>
      <c r="G21" s="77">
        <f t="shared" si="0"/>
        <v>10540.152963671128</v>
      </c>
      <c r="H21" s="74">
        <v>44.1</v>
      </c>
      <c r="I21" s="47">
        <f t="shared" si="1"/>
        <v>19.5</v>
      </c>
      <c r="J21" s="47">
        <v>71.5</v>
      </c>
      <c r="K21" s="49">
        <v>3</v>
      </c>
      <c r="L21" s="49">
        <v>0.6</v>
      </c>
      <c r="M21" s="45"/>
      <c r="N21" s="45"/>
      <c r="O21" s="45"/>
      <c r="P21" s="76">
        <f t="shared" si="4"/>
        <v>45.351473922902493</v>
      </c>
      <c r="Q21" s="50">
        <v>0.99</v>
      </c>
      <c r="S21" s="58">
        <v>1E-3</v>
      </c>
      <c r="T21" s="51">
        <v>0</v>
      </c>
      <c r="U21" s="52"/>
    </row>
    <row r="22" spans="2:21" x14ac:dyDescent="0.25">
      <c r="C22" s="14">
        <v>211</v>
      </c>
      <c r="D22" s="32" t="s">
        <v>207</v>
      </c>
      <c r="E22" s="45">
        <v>1</v>
      </c>
      <c r="F22" s="45">
        <v>1</v>
      </c>
      <c r="G22" s="77">
        <f t="shared" si="0"/>
        <v>10540.152963671128</v>
      </c>
      <c r="H22" s="74">
        <v>44.1</v>
      </c>
      <c r="I22" s="47">
        <f t="shared" si="1"/>
        <v>19.609090909090909</v>
      </c>
      <c r="J22" s="47">
        <v>71.900000000000006</v>
      </c>
      <c r="K22" s="49">
        <v>3</v>
      </c>
      <c r="L22" s="49">
        <v>0.6</v>
      </c>
      <c r="M22" s="45"/>
      <c r="N22" s="45"/>
      <c r="O22" s="45"/>
      <c r="P22" s="76">
        <f t="shared" si="4"/>
        <v>4.5351473922902494</v>
      </c>
      <c r="Q22" s="50">
        <v>0.99</v>
      </c>
      <c r="S22" s="58">
        <v>1E-4</v>
      </c>
      <c r="T22" s="51">
        <v>0</v>
      </c>
      <c r="U22" s="52"/>
    </row>
    <row r="23" spans="2:21" x14ac:dyDescent="0.25">
      <c r="C23" s="14">
        <v>212</v>
      </c>
      <c r="D23" s="32" t="s">
        <v>208</v>
      </c>
      <c r="E23" s="46">
        <v>1</v>
      </c>
      <c r="F23" s="45">
        <v>0.73499999999999999</v>
      </c>
      <c r="G23" s="77">
        <f t="shared" si="0"/>
        <v>10635.755258126193</v>
      </c>
      <c r="H23" s="74">
        <v>44.5</v>
      </c>
      <c r="I23" s="47">
        <f t="shared" si="1"/>
        <v>19.990909090909089</v>
      </c>
      <c r="J23" s="47">
        <v>73.3</v>
      </c>
      <c r="K23" s="49">
        <v>3</v>
      </c>
      <c r="L23" s="49">
        <v>0.6</v>
      </c>
      <c r="M23" s="45"/>
      <c r="N23" s="45"/>
      <c r="O23" s="45"/>
      <c r="P23" s="75">
        <f t="shared" si="4"/>
        <v>0</v>
      </c>
      <c r="Q23" s="50">
        <v>0.99</v>
      </c>
      <c r="S23" s="51"/>
      <c r="T23" s="51">
        <v>0</v>
      </c>
      <c r="U23" s="52"/>
    </row>
    <row r="24" spans="2:21" x14ac:dyDescent="0.25">
      <c r="C24" s="14">
        <v>213</v>
      </c>
      <c r="D24" s="32" t="s">
        <v>209</v>
      </c>
      <c r="E24" s="59">
        <v>80</v>
      </c>
      <c r="F24" s="45">
        <v>1.27</v>
      </c>
      <c r="G24" s="77">
        <f t="shared" si="0"/>
        <v>11089.866156787763</v>
      </c>
      <c r="H24" s="74">
        <v>46.4</v>
      </c>
      <c r="I24" s="47">
        <f t="shared" si="1"/>
        <v>16.8</v>
      </c>
      <c r="J24" s="47">
        <v>61.6</v>
      </c>
      <c r="K24" s="48">
        <v>1</v>
      </c>
      <c r="L24" s="49">
        <v>0.1</v>
      </c>
      <c r="M24" s="45"/>
      <c r="N24" s="45"/>
      <c r="O24" s="45"/>
      <c r="P24" s="75">
        <f t="shared" si="4"/>
        <v>0</v>
      </c>
      <c r="Q24" s="50">
        <v>0.99</v>
      </c>
      <c r="S24" s="51"/>
      <c r="T24" s="51">
        <v>0</v>
      </c>
      <c r="U24" s="52"/>
    </row>
    <row r="25" spans="2:21" x14ac:dyDescent="0.25">
      <c r="C25" s="14">
        <v>301</v>
      </c>
      <c r="D25" s="32" t="s">
        <v>103</v>
      </c>
      <c r="E25" s="60">
        <v>74</v>
      </c>
      <c r="F25" s="61">
        <v>0.71899999999999997</v>
      </c>
      <c r="G25" s="77">
        <f t="shared" si="0"/>
        <v>8248.5659655831732</v>
      </c>
      <c r="H25" s="74">
        <f>48*F25</f>
        <v>34.512</v>
      </c>
      <c r="I25" s="47">
        <f t="shared" si="1"/>
        <v>15.3</v>
      </c>
      <c r="J25" s="47">
        <v>56.1</v>
      </c>
      <c r="K25" s="48">
        <v>1</v>
      </c>
      <c r="L25" s="49">
        <v>0.1</v>
      </c>
      <c r="M25" s="45"/>
      <c r="N25" s="45"/>
      <c r="O25" s="45"/>
      <c r="P25" s="75">
        <f t="shared" si="4"/>
        <v>0</v>
      </c>
      <c r="Q25" s="50">
        <v>0.995</v>
      </c>
      <c r="S25" s="51">
        <v>0</v>
      </c>
      <c r="T25" s="51">
        <v>0</v>
      </c>
      <c r="U25" s="52"/>
    </row>
    <row r="26" spans="2:21" x14ac:dyDescent="0.25">
      <c r="C26" s="14">
        <v>302</v>
      </c>
      <c r="D26" s="32" t="s">
        <v>210</v>
      </c>
      <c r="E26" s="45">
        <v>21.7</v>
      </c>
      <c r="F26" s="61">
        <v>0.39600000000000002</v>
      </c>
      <c r="G26" s="77">
        <f t="shared" si="0"/>
        <v>3662.8107074569793</v>
      </c>
      <c r="H26" s="74">
        <f>38.7*F26</f>
        <v>15.325200000000002</v>
      </c>
      <c r="I26" s="47">
        <f t="shared" si="1"/>
        <v>12.109090909090909</v>
      </c>
      <c r="J26" s="47">
        <v>44.4</v>
      </c>
      <c r="K26" s="48">
        <v>1</v>
      </c>
      <c r="L26" s="49">
        <v>0.1</v>
      </c>
      <c r="M26" s="45"/>
      <c r="N26" s="45"/>
      <c r="O26" s="45"/>
      <c r="P26" s="75">
        <f t="shared" si="4"/>
        <v>0</v>
      </c>
      <c r="Q26" s="50">
        <v>0.995</v>
      </c>
      <c r="S26" s="51"/>
      <c r="T26" s="51">
        <v>0</v>
      </c>
      <c r="U26" s="52"/>
    </row>
    <row r="27" spans="2:21" x14ac:dyDescent="0.25">
      <c r="C27" s="14">
        <v>303</v>
      </c>
      <c r="D27" s="32" t="s">
        <v>211</v>
      </c>
      <c r="E27" s="44">
        <v>57.5</v>
      </c>
      <c r="F27" s="44">
        <v>0.73899999999999999</v>
      </c>
      <c r="G27" s="77">
        <f t="shared" si="0"/>
        <v>8742.9493307839384</v>
      </c>
      <c r="H27" s="74">
        <f>49.5*F27</f>
        <v>36.580500000000001</v>
      </c>
      <c r="I27" s="47">
        <f t="shared" si="1"/>
        <v>15.709090909090909</v>
      </c>
      <c r="J27" s="47">
        <v>57.6</v>
      </c>
      <c r="K27" s="48">
        <v>1</v>
      </c>
      <c r="L27" s="49">
        <v>0.1</v>
      </c>
      <c r="M27" s="45"/>
      <c r="N27" s="45"/>
      <c r="O27" s="45"/>
      <c r="P27" s="75">
        <f t="shared" si="4"/>
        <v>0</v>
      </c>
      <c r="Q27" s="50">
        <v>0.995</v>
      </c>
      <c r="S27" s="51"/>
      <c r="T27" s="51">
        <v>0</v>
      </c>
      <c r="U27" s="52"/>
    </row>
    <row r="28" spans="2:21" x14ac:dyDescent="0.25">
      <c r="C28" s="14">
        <v>304</v>
      </c>
      <c r="D28" s="32" t="s">
        <v>212</v>
      </c>
      <c r="E28" s="45">
        <v>15.4</v>
      </c>
      <c r="F28" s="61">
        <v>1.1970000000000001</v>
      </c>
      <c r="G28" s="77">
        <f>H28/$I$45*1000</f>
        <v>706.64196940726572</v>
      </c>
      <c r="H28" s="74">
        <f>2.47*F28</f>
        <v>2.9565900000000003</v>
      </c>
      <c r="I28" s="47">
        <f t="shared" si="1"/>
        <v>70.909090909090907</v>
      </c>
      <c r="J28" s="47">
        <v>260</v>
      </c>
      <c r="K28" s="48">
        <v>1</v>
      </c>
      <c r="L28" s="49">
        <v>0.1</v>
      </c>
      <c r="M28" s="45"/>
      <c r="N28" s="45"/>
      <c r="O28" s="45"/>
      <c r="P28" s="75">
        <f t="shared" si="4"/>
        <v>0</v>
      </c>
      <c r="Q28" s="50">
        <v>0.995</v>
      </c>
      <c r="S28" s="51"/>
      <c r="T28" s="51">
        <v>0</v>
      </c>
      <c r="U28" s="52"/>
    </row>
    <row r="29" spans="2:21" x14ac:dyDescent="0.25">
      <c r="C29" s="14">
        <v>401</v>
      </c>
      <c r="D29" s="32" t="s">
        <v>77</v>
      </c>
      <c r="E29" s="45">
        <v>1</v>
      </c>
      <c r="F29" s="45">
        <v>1</v>
      </c>
      <c r="G29" s="77">
        <f>H29/$I$45*1000</f>
        <v>3728.4894837476095</v>
      </c>
      <c r="H29" s="74">
        <v>15.6</v>
      </c>
      <c r="I29" s="47">
        <f t="shared" si="1"/>
        <v>30.545454545454547</v>
      </c>
      <c r="J29" s="47">
        <v>112</v>
      </c>
      <c r="K29" s="49">
        <v>30</v>
      </c>
      <c r="L29" s="49">
        <v>4</v>
      </c>
      <c r="M29" s="45"/>
      <c r="N29" s="45"/>
      <c r="O29" s="45"/>
      <c r="P29" s="75">
        <f t="shared" si="4"/>
        <v>256.41025641025641</v>
      </c>
      <c r="Q29" s="50">
        <v>0.87</v>
      </c>
      <c r="S29" s="51">
        <v>2E-3</v>
      </c>
      <c r="T29" s="51">
        <v>0</v>
      </c>
      <c r="U29" s="52"/>
    </row>
    <row r="30" spans="2:21" x14ac:dyDescent="0.25">
      <c r="C30" s="14">
        <v>402</v>
      </c>
      <c r="D30" s="32" t="s">
        <v>213</v>
      </c>
      <c r="E30" s="45">
        <v>1</v>
      </c>
      <c r="F30" s="45">
        <v>1</v>
      </c>
      <c r="G30" s="77">
        <f>H30/$I$45*1000</f>
        <v>7050.6692160611847</v>
      </c>
      <c r="H30" s="74">
        <v>29.5</v>
      </c>
      <c r="I30" s="47">
        <f t="shared" si="1"/>
        <v>30.545454545454547</v>
      </c>
      <c r="J30" s="47">
        <v>112</v>
      </c>
      <c r="K30" s="49">
        <v>200</v>
      </c>
      <c r="L30" s="49">
        <v>4</v>
      </c>
      <c r="M30" s="45"/>
      <c r="N30" s="45"/>
      <c r="O30" s="45"/>
      <c r="P30" s="75">
        <f t="shared" si="4"/>
        <v>0</v>
      </c>
      <c r="Q30" s="50">
        <v>0.87</v>
      </c>
      <c r="S30" s="51"/>
      <c r="T30" s="51">
        <v>0</v>
      </c>
      <c r="U30" s="52"/>
    </row>
    <row r="31" spans="2:21" x14ac:dyDescent="0.25">
      <c r="C31" s="14">
        <v>403</v>
      </c>
      <c r="D31" s="32" t="s">
        <v>78</v>
      </c>
      <c r="E31" s="45">
        <v>1</v>
      </c>
      <c r="F31" s="45">
        <v>1</v>
      </c>
      <c r="G31" s="77">
        <f t="shared" ref="G31:G34" si="5">H31/$I$45*1000</f>
        <v>2772.4665391969406</v>
      </c>
      <c r="H31" s="74">
        <v>11.6</v>
      </c>
      <c r="I31" s="47">
        <f t="shared" si="1"/>
        <v>27.272727272727273</v>
      </c>
      <c r="J31" s="47">
        <v>100</v>
      </c>
      <c r="K31" s="49">
        <v>30</v>
      </c>
      <c r="L31" s="49">
        <v>4</v>
      </c>
      <c r="M31" s="45"/>
      <c r="N31" s="45"/>
      <c r="O31" s="45"/>
      <c r="P31" s="75">
        <f t="shared" si="4"/>
        <v>0</v>
      </c>
      <c r="Q31" s="50">
        <v>0.87</v>
      </c>
      <c r="S31" s="51"/>
      <c r="T31" s="51">
        <v>0</v>
      </c>
      <c r="U31" s="52"/>
    </row>
    <row r="32" spans="2:21" x14ac:dyDescent="0.25">
      <c r="C32" s="14">
        <v>404</v>
      </c>
      <c r="D32" s="32" t="s">
        <v>0</v>
      </c>
      <c r="E32" s="45">
        <v>1</v>
      </c>
      <c r="F32" s="45">
        <v>1</v>
      </c>
      <c r="G32" s="77">
        <f t="shared" si="5"/>
        <v>6453.1548757170167</v>
      </c>
      <c r="H32" s="74">
        <v>27</v>
      </c>
      <c r="I32" s="55">
        <f t="shared" si="1"/>
        <v>19.309090909090909</v>
      </c>
      <c r="J32" s="55">
        <v>70.8</v>
      </c>
      <c r="K32" s="49">
        <v>3</v>
      </c>
      <c r="L32" s="49">
        <v>0.6</v>
      </c>
      <c r="M32" s="45"/>
      <c r="N32" s="45"/>
      <c r="O32" s="45"/>
      <c r="P32" s="75">
        <f t="shared" si="4"/>
        <v>0</v>
      </c>
      <c r="Q32" s="50">
        <v>0.99</v>
      </c>
      <c r="S32" s="51"/>
      <c r="T32" s="51">
        <v>0</v>
      </c>
      <c r="U32" s="52"/>
    </row>
    <row r="33" spans="3:21" x14ac:dyDescent="0.25">
      <c r="C33" s="14">
        <v>405</v>
      </c>
      <c r="D33" s="32" t="s">
        <v>1</v>
      </c>
      <c r="E33" s="45">
        <v>1</v>
      </c>
      <c r="F33" s="45">
        <v>1</v>
      </c>
      <c r="G33" s="77">
        <f t="shared" si="5"/>
        <v>10277.246653919694</v>
      </c>
      <c r="H33" s="139">
        <f>H17</f>
        <v>43</v>
      </c>
      <c r="I33" s="139">
        <f t="shared" ref="I33:L33" si="6">I17</f>
        <v>20.209090909090907</v>
      </c>
      <c r="J33" s="139">
        <f t="shared" si="6"/>
        <v>74.099999999999994</v>
      </c>
      <c r="K33" s="139">
        <f t="shared" si="6"/>
        <v>3</v>
      </c>
      <c r="L33" s="139">
        <f t="shared" si="6"/>
        <v>0.6</v>
      </c>
      <c r="M33" s="45"/>
      <c r="N33" s="45"/>
      <c r="O33" s="45"/>
      <c r="P33" s="75">
        <f t="shared" si="4"/>
        <v>0</v>
      </c>
      <c r="Q33" s="50">
        <v>0.99</v>
      </c>
      <c r="S33" s="51"/>
      <c r="T33" s="51">
        <v>0</v>
      </c>
      <c r="U33" s="52"/>
    </row>
    <row r="34" spans="3:21" x14ac:dyDescent="0.25">
      <c r="C34" s="14">
        <v>406</v>
      </c>
      <c r="D34" s="32" t="s">
        <v>214</v>
      </c>
      <c r="E34" s="45">
        <v>1</v>
      </c>
      <c r="F34" s="45">
        <v>1</v>
      </c>
      <c r="G34" s="77">
        <f t="shared" si="5"/>
        <v>2772.4665391969406</v>
      </c>
      <c r="H34" s="74">
        <v>11.6</v>
      </c>
      <c r="I34" s="47">
        <f>J34/44*12</f>
        <v>27.272727272727273</v>
      </c>
      <c r="J34" s="47">
        <v>100</v>
      </c>
      <c r="K34" s="49">
        <v>30</v>
      </c>
      <c r="L34" s="49">
        <v>4</v>
      </c>
      <c r="M34" s="45"/>
      <c r="N34" s="45"/>
      <c r="O34" s="45"/>
      <c r="P34" s="75">
        <f t="shared" si="4"/>
        <v>0</v>
      </c>
      <c r="Q34" s="50">
        <v>0.87</v>
      </c>
      <c r="S34" s="51"/>
      <c r="T34" s="51">
        <v>0</v>
      </c>
      <c r="U34" s="52"/>
    </row>
    <row r="35" spans="3:21" ht="17.25" x14ac:dyDescent="0.25">
      <c r="C35" s="62">
        <v>1</v>
      </c>
      <c r="D35" s="14" t="s">
        <v>215</v>
      </c>
      <c r="E35" s="63"/>
      <c r="F35" s="8"/>
      <c r="G35" s="8"/>
      <c r="H35" s="8"/>
      <c r="I35" s="64"/>
      <c r="J35" s="65"/>
      <c r="K35" s="8"/>
      <c r="L35" s="8"/>
      <c r="M35" s="8"/>
      <c r="N35" s="8"/>
      <c r="O35" s="8"/>
      <c r="P35" s="8"/>
      <c r="Q35" s="8"/>
    </row>
    <row r="36" spans="3:21" ht="17.25" x14ac:dyDescent="0.25">
      <c r="C36" s="62">
        <v>2</v>
      </c>
      <c r="D36" s="14" t="s">
        <v>276</v>
      </c>
      <c r="E36" s="63"/>
      <c r="F36" s="8"/>
      <c r="G36" s="8"/>
      <c r="H36" s="8"/>
      <c r="I36" s="64"/>
      <c r="J36" s="65"/>
      <c r="K36" s="8"/>
      <c r="L36" s="8"/>
      <c r="M36" s="8"/>
      <c r="N36" s="8"/>
      <c r="O36" s="8"/>
      <c r="P36" s="8"/>
      <c r="Q36" s="8"/>
    </row>
    <row r="37" spans="3:21" ht="17.25" x14ac:dyDescent="0.25">
      <c r="C37" s="62">
        <v>3</v>
      </c>
      <c r="D37" s="14" t="s">
        <v>271</v>
      </c>
      <c r="E37" s="63"/>
      <c r="F37" s="8"/>
      <c r="G37" s="8"/>
      <c r="H37" s="8"/>
      <c r="I37" s="64"/>
      <c r="J37" s="65"/>
      <c r="K37" s="8"/>
      <c r="L37" s="8"/>
      <c r="M37" s="8"/>
      <c r="N37" s="8"/>
      <c r="O37" s="8"/>
      <c r="P37" s="8"/>
      <c r="Q37" s="8"/>
    </row>
    <row r="38" spans="3:21" x14ac:dyDescent="0.25">
      <c r="C38" s="14"/>
      <c r="D38" s="14"/>
      <c r="E38" s="8"/>
      <c r="F38" s="8"/>
      <c r="G38" s="8"/>
      <c r="H38" s="8"/>
      <c r="I38" s="64"/>
      <c r="J38" s="65"/>
      <c r="K38" s="8"/>
      <c r="L38" s="8"/>
      <c r="M38" s="8"/>
      <c r="N38" s="8"/>
      <c r="O38" s="8"/>
      <c r="P38" s="8"/>
      <c r="Q38" s="8"/>
    </row>
    <row r="40" spans="3:21" ht="18" x14ac:dyDescent="0.25">
      <c r="H40" s="66" t="s">
        <v>216</v>
      </c>
      <c r="I40" s="67"/>
      <c r="J40" s="67"/>
      <c r="K40" s="67"/>
      <c r="L40" s="38" t="s">
        <v>217</v>
      </c>
      <c r="M40" s="38" t="s">
        <v>218</v>
      </c>
      <c r="N40" s="38" t="s">
        <v>219</v>
      </c>
    </row>
    <row r="41" spans="3:21" ht="18" x14ac:dyDescent="0.25">
      <c r="H41" s="68" t="s">
        <v>220</v>
      </c>
      <c r="I41" s="19"/>
      <c r="J41" s="19"/>
      <c r="K41" s="19"/>
      <c r="L41" s="16">
        <v>1</v>
      </c>
      <c r="M41" s="16">
        <v>21</v>
      </c>
      <c r="N41" s="16">
        <v>310</v>
      </c>
    </row>
    <row r="43" spans="3:21" x14ac:dyDescent="0.25">
      <c r="H43" s="69" t="s">
        <v>221</v>
      </c>
      <c r="I43" s="70"/>
      <c r="J43" s="71"/>
    </row>
    <row r="44" spans="3:21" x14ac:dyDescent="0.25">
      <c r="H44" s="72"/>
      <c r="I44" s="78">
        <v>41.868000000000002</v>
      </c>
      <c r="J44" s="72" t="s">
        <v>222</v>
      </c>
    </row>
    <row r="45" spans="3:21" x14ac:dyDescent="0.25">
      <c r="H45" s="3"/>
      <c r="I45" s="22">
        <v>4.1840000000000002</v>
      </c>
      <c r="J45" s="3" t="s">
        <v>223</v>
      </c>
    </row>
    <row r="46" spans="3:21" x14ac:dyDescent="0.25">
      <c r="H46" s="3"/>
      <c r="I46" s="3"/>
      <c r="J46" s="3"/>
    </row>
  </sheetData>
  <mergeCells count="2">
    <mergeCell ref="D3:Q3"/>
    <mergeCell ref="D4:D5"/>
  </mergeCells>
  <pageMargins left="0.7" right="0.7" top="0.75" bottom="0.75" header="0.3" footer="0.3"/>
  <pageSetup paperSize="9" orientation="portrait"/>
  <ignoredErrors>
    <ignoredError sqref="I8 I13 G8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C360-72E9-43E9-BF05-D73480667900}">
  <dimension ref="A1:O226"/>
  <sheetViews>
    <sheetView tabSelected="1" topLeftCell="B160" workbookViewId="0">
      <selection activeCell="J177" sqref="J177"/>
    </sheetView>
  </sheetViews>
  <sheetFormatPr defaultRowHeight="15" x14ac:dyDescent="0.25"/>
  <cols>
    <col min="8" max="8" width="11.140625" bestFit="1" customWidth="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70" t="s">
        <v>217</v>
      </c>
      <c r="I3" s="170" t="s">
        <v>218</v>
      </c>
      <c r="J3" s="170" t="s">
        <v>219</v>
      </c>
      <c r="K3" s="170" t="s">
        <v>232</v>
      </c>
      <c r="L3" s="170" t="s">
        <v>233</v>
      </c>
      <c r="M3" s="170" t="s">
        <v>234</v>
      </c>
      <c r="N3" s="170" t="s">
        <v>235</v>
      </c>
      <c r="O3" s="170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70" t="s">
        <v>237</v>
      </c>
      <c r="I4" s="170" t="s">
        <v>238</v>
      </c>
      <c r="J4" s="170" t="s">
        <v>239</v>
      </c>
      <c r="K4" s="170" t="s">
        <v>240</v>
      </c>
      <c r="L4" s="170" t="s">
        <v>241</v>
      </c>
      <c r="M4" s="170" t="s">
        <v>242</v>
      </c>
      <c r="N4" s="170" t="s">
        <v>243</v>
      </c>
      <c r="O4" s="170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v>177218990</v>
      </c>
      <c r="I5" s="138">
        <v>327820</v>
      </c>
      <c r="J5" s="138">
        <v>4480</v>
      </c>
      <c r="K5" s="138">
        <v>768290</v>
      </c>
      <c r="L5" s="138">
        <v>2592090</v>
      </c>
      <c r="M5" s="138">
        <v>546900</v>
      </c>
      <c r="N5" s="138">
        <v>52510</v>
      </c>
      <c r="O5" s="138"/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v>177665400</v>
      </c>
      <c r="I6" s="124">
        <v>30220</v>
      </c>
      <c r="J6" s="124">
        <v>4460</v>
      </c>
      <c r="K6" s="124">
        <v>768290</v>
      </c>
      <c r="L6" s="124">
        <v>2592090</v>
      </c>
      <c r="M6" s="124">
        <v>454140</v>
      </c>
      <c r="N6" s="124">
        <v>52510</v>
      </c>
      <c r="O6" s="124"/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v>58059420</v>
      </c>
      <c r="I7" s="129">
        <v>4270</v>
      </c>
      <c r="J7" s="129">
        <v>1540</v>
      </c>
      <c r="K7" s="129">
        <v>186440</v>
      </c>
      <c r="L7" s="129">
        <v>28630</v>
      </c>
      <c r="M7" s="129">
        <v>4670</v>
      </c>
      <c r="N7" s="129">
        <v>25790</v>
      </c>
      <c r="O7" s="129"/>
    </row>
    <row r="8" spans="1:15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v>40196210</v>
      </c>
      <c r="I8" s="134">
        <v>3920</v>
      </c>
      <c r="J8" s="134">
        <v>1500</v>
      </c>
      <c r="K8" s="134">
        <v>140210</v>
      </c>
      <c r="L8" s="134">
        <v>22690</v>
      </c>
      <c r="M8" s="134">
        <v>3170</v>
      </c>
      <c r="N8" s="134">
        <v>19960</v>
      </c>
      <c r="O8" s="134"/>
    </row>
    <row r="9" spans="1:15" x14ac:dyDescent="0.25">
      <c r="A9" s="10" t="s">
        <v>104</v>
      </c>
      <c r="B9" s="1" t="s">
        <v>105</v>
      </c>
      <c r="C9" s="11"/>
      <c r="D9" s="82"/>
      <c r="E9" s="11"/>
      <c r="F9" s="11"/>
      <c r="G9" s="11"/>
      <c r="H9" s="93"/>
      <c r="I9" s="93"/>
      <c r="J9" s="93"/>
      <c r="K9" s="93"/>
      <c r="L9" s="93"/>
      <c r="M9" s="93"/>
      <c r="N9" s="93"/>
      <c r="O9" s="93"/>
    </row>
    <row r="10" spans="1:15" x14ac:dyDescent="0.25">
      <c r="A10" s="10"/>
      <c r="B10" s="1"/>
      <c r="C10" s="11"/>
      <c r="D10" s="82">
        <v>103</v>
      </c>
      <c r="E10" s="11" t="s">
        <v>98</v>
      </c>
      <c r="F10" s="11" t="s">
        <v>248</v>
      </c>
      <c r="G10" s="11"/>
      <c r="H10" s="92"/>
      <c r="I10" s="92"/>
      <c r="J10" s="92"/>
      <c r="K10" s="92"/>
      <c r="L10" s="92"/>
      <c r="M10" s="92"/>
      <c r="N10" s="92"/>
      <c r="O10" s="92"/>
    </row>
    <row r="11" spans="1:15" x14ac:dyDescent="0.25">
      <c r="A11" s="10"/>
      <c r="B11" s="1"/>
      <c r="C11" s="11"/>
      <c r="D11" s="82">
        <v>206</v>
      </c>
      <c r="E11" s="11" t="s">
        <v>98</v>
      </c>
      <c r="F11" s="11" t="s">
        <v>249</v>
      </c>
      <c r="G11" s="11"/>
      <c r="H11" s="17"/>
      <c r="I11" s="17"/>
      <c r="J11" s="17"/>
      <c r="K11" s="17"/>
      <c r="L11" s="17"/>
      <c r="M11" s="17"/>
      <c r="N11" s="17"/>
      <c r="O11" s="17"/>
    </row>
    <row r="12" spans="1:15" x14ac:dyDescent="0.25">
      <c r="A12" s="10"/>
      <c r="B12" s="1"/>
      <c r="C12" s="11"/>
      <c r="D12" s="82">
        <v>207</v>
      </c>
      <c r="E12" s="11" t="s">
        <v>98</v>
      </c>
      <c r="F12" s="11" t="s">
        <v>250</v>
      </c>
      <c r="G12" s="11"/>
      <c r="H12" s="92"/>
      <c r="I12" s="92"/>
      <c r="J12" s="92"/>
      <c r="K12" s="92"/>
      <c r="L12" s="92"/>
      <c r="M12" s="92"/>
      <c r="N12" s="92"/>
      <c r="O12" s="92"/>
    </row>
    <row r="13" spans="1:15" x14ac:dyDescent="0.25">
      <c r="A13" s="10"/>
      <c r="B13" s="1"/>
      <c r="C13" s="11"/>
      <c r="D13" s="82">
        <v>301</v>
      </c>
      <c r="E13" s="11" t="s">
        <v>98</v>
      </c>
      <c r="F13" s="11" t="s">
        <v>106</v>
      </c>
      <c r="G13" s="11"/>
      <c r="H13" s="17"/>
      <c r="I13" s="17"/>
      <c r="J13" s="17"/>
      <c r="K13" s="17"/>
      <c r="L13" s="17"/>
      <c r="M13" s="17"/>
      <c r="N13" s="17"/>
      <c r="O13" s="17"/>
    </row>
    <row r="14" spans="1:15" x14ac:dyDescent="0.25">
      <c r="A14" s="10"/>
      <c r="B14" s="1"/>
      <c r="C14" s="11"/>
      <c r="D14" s="82">
        <v>405</v>
      </c>
      <c r="E14" s="11" t="s">
        <v>98</v>
      </c>
      <c r="F14" s="27" t="s">
        <v>251</v>
      </c>
      <c r="G14" s="11"/>
      <c r="H14" s="77"/>
      <c r="I14" s="147"/>
      <c r="J14" s="147"/>
      <c r="K14" s="147"/>
      <c r="L14" s="147"/>
      <c r="M14" s="147"/>
      <c r="N14" s="147"/>
      <c r="O14" s="92"/>
    </row>
    <row r="15" spans="1:15" x14ac:dyDescent="0.25">
      <c r="A15" s="10" t="s">
        <v>107</v>
      </c>
      <c r="B15" s="1" t="s">
        <v>108</v>
      </c>
      <c r="C15" s="11"/>
      <c r="D15" s="82"/>
      <c r="E15" s="11"/>
      <c r="F15" s="11"/>
      <c r="G15" s="11"/>
      <c r="H15" s="17"/>
      <c r="I15" s="17"/>
      <c r="J15" s="17"/>
      <c r="K15" s="17"/>
      <c r="L15" s="17"/>
      <c r="M15" s="17"/>
      <c r="N15" s="17"/>
      <c r="O15" s="87"/>
    </row>
    <row r="16" spans="1:15" x14ac:dyDescent="0.25">
      <c r="A16" s="10" t="s">
        <v>109</v>
      </c>
      <c r="B16" s="1" t="s">
        <v>110</v>
      </c>
      <c r="C16" s="11"/>
      <c r="D16" s="82"/>
      <c r="E16" s="11"/>
      <c r="F16" s="11"/>
      <c r="G16" s="11"/>
      <c r="H16" s="17"/>
      <c r="I16" s="17"/>
      <c r="J16" s="17"/>
      <c r="K16" s="17"/>
      <c r="L16" s="17"/>
      <c r="M16" s="17"/>
      <c r="N16" s="17"/>
      <c r="O16" s="87"/>
    </row>
    <row r="17" spans="1:15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v>6792740</v>
      </c>
      <c r="I17" s="134">
        <v>140</v>
      </c>
      <c r="J17" s="134">
        <v>20</v>
      </c>
      <c r="K17" s="134">
        <v>17170</v>
      </c>
      <c r="L17" s="134">
        <v>2130</v>
      </c>
      <c r="M17" s="134">
        <v>550</v>
      </c>
      <c r="N17" s="134">
        <v>2730</v>
      </c>
      <c r="O17" s="134"/>
    </row>
    <row r="18" spans="1:15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G18" s="11"/>
      <c r="H18" s="17"/>
      <c r="I18" s="17"/>
      <c r="J18" s="17"/>
      <c r="K18" s="17"/>
      <c r="L18" s="17"/>
      <c r="M18" s="17"/>
      <c r="N18" s="17"/>
      <c r="O18" s="87"/>
    </row>
    <row r="19" spans="1:15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G19" s="11"/>
      <c r="H19" s="17"/>
      <c r="I19" s="17"/>
      <c r="J19" s="17"/>
      <c r="K19" s="17"/>
      <c r="L19" s="17"/>
      <c r="M19" s="17"/>
      <c r="N19" s="17"/>
      <c r="O19" s="87"/>
    </row>
    <row r="20" spans="1:15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G20" s="11"/>
      <c r="H20" s="17"/>
      <c r="I20" s="17"/>
      <c r="J20" s="17"/>
      <c r="K20" s="17"/>
      <c r="L20" s="17"/>
      <c r="M20" s="17"/>
      <c r="N20" s="17"/>
      <c r="O20" s="87"/>
    </row>
    <row r="21" spans="1:15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G21" s="11"/>
      <c r="H21" s="17"/>
      <c r="I21" s="17"/>
      <c r="J21" s="17"/>
      <c r="K21" s="17"/>
      <c r="L21" s="17"/>
      <c r="M21" s="17"/>
      <c r="N21" s="17"/>
      <c r="O21" s="87"/>
    </row>
    <row r="22" spans="1:15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G22" s="11"/>
      <c r="H22" s="17"/>
      <c r="I22" s="17"/>
      <c r="J22" s="17"/>
      <c r="K22" s="17"/>
      <c r="L22" s="17"/>
      <c r="M22" s="17"/>
      <c r="N22" s="17"/>
      <c r="O22" s="87"/>
    </row>
    <row r="23" spans="1:15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G23" s="11"/>
      <c r="H23" s="17"/>
      <c r="I23" s="17"/>
      <c r="J23" s="17"/>
      <c r="K23" s="17"/>
      <c r="L23" s="17"/>
      <c r="M23" s="17"/>
      <c r="N23" s="17"/>
      <c r="O23" s="87"/>
    </row>
    <row r="24" spans="1:15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G24" s="11"/>
      <c r="H24" s="17"/>
      <c r="I24" s="17"/>
      <c r="J24" s="17"/>
      <c r="K24" s="17"/>
      <c r="L24" s="17"/>
      <c r="M24" s="17"/>
      <c r="N24" s="17"/>
      <c r="O24" s="87"/>
    </row>
    <row r="25" spans="1:15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G25" s="11"/>
      <c r="H25" s="17"/>
      <c r="I25" s="17"/>
      <c r="J25" s="17"/>
      <c r="K25" s="17"/>
      <c r="L25" s="17"/>
      <c r="M25" s="17"/>
      <c r="N25" s="17"/>
      <c r="O25" s="87"/>
    </row>
    <row r="26" spans="1:15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v>11070470</v>
      </c>
      <c r="I26" s="134">
        <v>210</v>
      </c>
      <c r="J26" s="134">
        <v>20</v>
      </c>
      <c r="K26" s="134">
        <v>29060</v>
      </c>
      <c r="L26" s="134">
        <v>3810</v>
      </c>
      <c r="M26" s="134">
        <v>960</v>
      </c>
      <c r="N26" s="134">
        <v>3100</v>
      </c>
      <c r="O26" s="134"/>
    </row>
    <row r="27" spans="1:15" x14ac:dyDescent="0.25">
      <c r="A27" s="10" t="s">
        <v>26</v>
      </c>
      <c r="B27" s="1" t="s">
        <v>20</v>
      </c>
      <c r="C27" s="1"/>
      <c r="D27" s="82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x14ac:dyDescent="0.25">
      <c r="A28" s="10" t="s">
        <v>27</v>
      </c>
      <c r="B28" s="1" t="s">
        <v>21</v>
      </c>
      <c r="C28" s="1"/>
      <c r="D28" s="82"/>
      <c r="E28" s="1"/>
      <c r="F28" s="1"/>
      <c r="G28" s="1"/>
      <c r="H28" s="15">
        <v>11070470</v>
      </c>
      <c r="I28" s="15">
        <v>210</v>
      </c>
      <c r="J28" s="15">
        <v>20</v>
      </c>
      <c r="K28" s="15">
        <v>29060</v>
      </c>
      <c r="L28" s="15">
        <v>3810</v>
      </c>
      <c r="M28" s="15">
        <v>960</v>
      </c>
      <c r="N28" s="15">
        <v>3100</v>
      </c>
      <c r="O28" s="15"/>
    </row>
    <row r="29" spans="1:15" x14ac:dyDescent="0.25">
      <c r="A29" s="11"/>
      <c r="B29" s="1" t="s">
        <v>7</v>
      </c>
      <c r="C29" s="11"/>
      <c r="D29" s="82"/>
      <c r="E29" s="11"/>
      <c r="F29" s="11"/>
      <c r="G29" s="1"/>
      <c r="H29" s="95"/>
      <c r="I29" s="95"/>
      <c r="J29" s="95"/>
      <c r="K29" s="95"/>
      <c r="L29" s="95"/>
      <c r="M29" s="95"/>
      <c r="N29" s="95"/>
      <c r="O29" s="95"/>
    </row>
    <row r="30" spans="1:15" x14ac:dyDescent="0.25">
      <c r="A30" s="11"/>
      <c r="B30" s="11"/>
      <c r="C30" s="11"/>
      <c r="D30" s="82">
        <v>103</v>
      </c>
      <c r="E30" s="11" t="s">
        <v>98</v>
      </c>
      <c r="F30" s="11" t="s">
        <v>248</v>
      </c>
      <c r="G30" s="11"/>
      <c r="H30" s="17"/>
      <c r="I30" s="17"/>
      <c r="J30" s="17"/>
      <c r="K30" s="17"/>
      <c r="L30" s="17"/>
      <c r="M30" s="17"/>
      <c r="N30" s="17"/>
      <c r="O30" s="87"/>
    </row>
    <row r="31" spans="1:15" x14ac:dyDescent="0.25">
      <c r="A31" s="11"/>
      <c r="B31" s="11"/>
      <c r="C31" s="11"/>
      <c r="D31" s="82">
        <v>206</v>
      </c>
      <c r="E31" s="11" t="s">
        <v>98</v>
      </c>
      <c r="F31" s="11" t="s">
        <v>249</v>
      </c>
      <c r="G31" s="11"/>
      <c r="H31" s="17"/>
      <c r="I31" s="17"/>
      <c r="J31" s="17"/>
      <c r="K31" s="17"/>
      <c r="L31" s="17"/>
      <c r="M31" s="17"/>
      <c r="N31" s="17"/>
      <c r="O31" s="87"/>
    </row>
    <row r="32" spans="1:15" x14ac:dyDescent="0.25">
      <c r="A32" s="11"/>
      <c r="B32" s="1" t="s">
        <v>6</v>
      </c>
      <c r="C32" s="11"/>
      <c r="D32" s="82"/>
      <c r="E32" s="11"/>
      <c r="F32" s="11"/>
      <c r="G32" s="1"/>
      <c r="H32" s="17"/>
      <c r="I32" s="17"/>
      <c r="J32" s="17"/>
      <c r="K32" s="17"/>
      <c r="L32" s="17"/>
      <c r="M32" s="17"/>
      <c r="N32" s="17"/>
      <c r="O32" s="17"/>
    </row>
    <row r="33" spans="1:15" x14ac:dyDescent="0.25">
      <c r="A33" s="11"/>
      <c r="B33" s="11"/>
      <c r="C33" s="11"/>
      <c r="D33" s="82">
        <v>301</v>
      </c>
      <c r="E33" s="11" t="s">
        <v>98</v>
      </c>
      <c r="F33" s="11" t="s">
        <v>8</v>
      </c>
      <c r="G33" s="11"/>
      <c r="H33" s="17"/>
      <c r="I33" s="17"/>
      <c r="J33" s="17"/>
      <c r="K33" s="17"/>
      <c r="L33" s="17"/>
      <c r="M33" s="17"/>
      <c r="N33" s="17"/>
      <c r="O33" s="87"/>
    </row>
    <row r="34" spans="1:15" x14ac:dyDescent="0.25">
      <c r="A34" s="11"/>
      <c r="B34" s="11"/>
      <c r="C34" s="11"/>
      <c r="D34" s="82">
        <v>206</v>
      </c>
      <c r="E34" s="11" t="s">
        <v>98</v>
      </c>
      <c r="F34" s="11" t="s">
        <v>249</v>
      </c>
      <c r="G34" s="11"/>
      <c r="H34" s="17"/>
      <c r="I34" s="17"/>
      <c r="J34" s="17"/>
      <c r="K34" s="17"/>
      <c r="L34" s="17"/>
      <c r="M34" s="17"/>
      <c r="N34" s="17"/>
      <c r="O34" s="87"/>
    </row>
    <row r="35" spans="1:15" x14ac:dyDescent="0.25">
      <c r="A35" s="11"/>
      <c r="B35" s="11"/>
      <c r="C35" s="11"/>
      <c r="D35" s="82">
        <v>201</v>
      </c>
      <c r="E35" s="11" t="s">
        <v>98</v>
      </c>
      <c r="F35" s="11" t="s">
        <v>269</v>
      </c>
      <c r="G35" s="11"/>
      <c r="H35" s="17"/>
      <c r="I35" s="17"/>
      <c r="J35" s="17"/>
      <c r="K35" s="17"/>
      <c r="L35" s="17"/>
      <c r="M35" s="17"/>
      <c r="N35" s="17"/>
      <c r="O35" s="87"/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v>32995800</v>
      </c>
      <c r="I36" s="129">
        <v>1620</v>
      </c>
      <c r="J36" s="129">
        <v>230</v>
      </c>
      <c r="K36" s="129">
        <v>72730</v>
      </c>
      <c r="L36" s="129">
        <v>91950</v>
      </c>
      <c r="M36" s="129">
        <v>3250</v>
      </c>
      <c r="N36" s="129">
        <v>6120</v>
      </c>
      <c r="O36" s="129"/>
    </row>
    <row r="37" spans="1:15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v>9537220</v>
      </c>
      <c r="I37" s="134">
        <v>80</v>
      </c>
      <c r="J37" s="134">
        <v>10</v>
      </c>
      <c r="K37" s="134">
        <v>11640</v>
      </c>
      <c r="L37" s="134">
        <v>23330</v>
      </c>
      <c r="M37" s="134">
        <v>390</v>
      </c>
      <c r="N37" s="134"/>
      <c r="O37" s="134"/>
    </row>
    <row r="38" spans="1:15" x14ac:dyDescent="0.25">
      <c r="A38" s="10"/>
      <c r="B38" s="1"/>
      <c r="C38" s="11"/>
      <c r="D38" s="82">
        <v>301</v>
      </c>
      <c r="E38" s="11" t="s">
        <v>98</v>
      </c>
      <c r="F38" s="11" t="s">
        <v>106</v>
      </c>
      <c r="G38" s="11"/>
      <c r="H38" s="17"/>
      <c r="I38" s="17"/>
      <c r="J38" s="17"/>
      <c r="K38" s="17"/>
      <c r="L38" s="17"/>
      <c r="M38" s="17"/>
      <c r="N38" s="17"/>
      <c r="O38" s="87"/>
    </row>
    <row r="39" spans="1:15" x14ac:dyDescent="0.25">
      <c r="A39" s="10"/>
      <c r="B39" s="1"/>
      <c r="C39" s="11"/>
      <c r="D39" s="82">
        <v>304</v>
      </c>
      <c r="E39" s="11" t="s">
        <v>98</v>
      </c>
      <c r="F39" s="11" t="s">
        <v>13</v>
      </c>
      <c r="G39" s="11"/>
      <c r="H39" s="17"/>
      <c r="I39" s="17"/>
      <c r="J39" s="17"/>
      <c r="K39" s="17"/>
      <c r="L39" s="17"/>
      <c r="M39" s="17"/>
      <c r="N39" s="17"/>
      <c r="O39" s="87"/>
    </row>
    <row r="40" spans="1:15" x14ac:dyDescent="0.25">
      <c r="A40" s="10"/>
      <c r="B40" s="1"/>
      <c r="C40" s="11"/>
      <c r="D40" s="82">
        <v>302</v>
      </c>
      <c r="E40" s="11" t="s">
        <v>98</v>
      </c>
      <c r="F40" s="11" t="s">
        <v>14</v>
      </c>
      <c r="G40" s="11"/>
      <c r="H40" s="17"/>
      <c r="I40" s="17"/>
      <c r="J40" s="17"/>
      <c r="K40" s="17"/>
      <c r="L40" s="17"/>
      <c r="M40" s="17"/>
      <c r="N40" s="17"/>
      <c r="O40" s="87"/>
    </row>
    <row r="41" spans="1:15" x14ac:dyDescent="0.25">
      <c r="A41" s="10"/>
      <c r="B41" s="1"/>
      <c r="C41" s="11"/>
      <c r="D41" s="82">
        <v>206</v>
      </c>
      <c r="E41" s="11" t="s">
        <v>98</v>
      </c>
      <c r="F41" s="11" t="s">
        <v>249</v>
      </c>
      <c r="G41" s="11"/>
      <c r="H41" s="17"/>
      <c r="I41" s="17"/>
      <c r="J41" s="17"/>
      <c r="K41" s="17"/>
      <c r="L41" s="17"/>
      <c r="M41" s="17"/>
      <c r="N41" s="17"/>
      <c r="O41" s="87"/>
    </row>
    <row r="42" spans="1:15" x14ac:dyDescent="0.25">
      <c r="A42" s="10"/>
      <c r="B42" s="1"/>
      <c r="C42" s="11"/>
      <c r="D42" s="82">
        <v>207</v>
      </c>
      <c r="E42" s="11" t="s">
        <v>98</v>
      </c>
      <c r="F42" s="11" t="s">
        <v>250</v>
      </c>
      <c r="G42" s="11"/>
      <c r="H42" s="17"/>
      <c r="I42" s="17"/>
      <c r="J42" s="17"/>
      <c r="K42" s="17"/>
      <c r="L42" s="17"/>
      <c r="M42" s="17"/>
      <c r="N42" s="17"/>
      <c r="O42" s="87"/>
    </row>
    <row r="43" spans="1:15" x14ac:dyDescent="0.25">
      <c r="A43" s="10"/>
      <c r="B43" s="1"/>
      <c r="C43" s="11"/>
      <c r="D43" s="82">
        <v>106</v>
      </c>
      <c r="E43" s="11" t="s">
        <v>98</v>
      </c>
      <c r="F43" s="11" t="s">
        <v>253</v>
      </c>
      <c r="G43" s="11"/>
      <c r="H43" s="17"/>
      <c r="I43" s="17"/>
      <c r="J43" s="17"/>
      <c r="K43" s="17"/>
      <c r="L43" s="17"/>
      <c r="M43" s="17"/>
      <c r="N43" s="17"/>
      <c r="O43" s="87"/>
    </row>
    <row r="44" spans="1:15" x14ac:dyDescent="0.25">
      <c r="A44" s="10"/>
      <c r="B44" s="1"/>
      <c r="C44" s="11"/>
      <c r="D44" s="82">
        <v>104</v>
      </c>
      <c r="E44" s="11" t="s">
        <v>98</v>
      </c>
      <c r="F44" s="11" t="s">
        <v>254</v>
      </c>
      <c r="G44" s="11"/>
      <c r="H44" s="17"/>
      <c r="I44" s="17"/>
      <c r="J44" s="17"/>
      <c r="K44" s="17"/>
      <c r="L44" s="17"/>
      <c r="M44" s="17"/>
      <c r="N44" s="17"/>
      <c r="O44" s="87"/>
    </row>
    <row r="45" spans="1:15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v>274430</v>
      </c>
      <c r="I45" s="134">
        <v>0</v>
      </c>
      <c r="J45" s="134">
        <v>0</v>
      </c>
      <c r="K45" s="134">
        <v>730</v>
      </c>
      <c r="L45" s="134">
        <v>150</v>
      </c>
      <c r="M45" s="134">
        <v>20</v>
      </c>
      <c r="N45" s="134">
        <v>0</v>
      </c>
      <c r="O45" s="134"/>
    </row>
    <row r="46" spans="1:15" x14ac:dyDescent="0.25">
      <c r="A46" s="10"/>
      <c r="B46" s="1"/>
      <c r="C46" s="11"/>
      <c r="D46" s="82">
        <v>301</v>
      </c>
      <c r="E46" s="11" t="s">
        <v>98</v>
      </c>
      <c r="F46" s="11" t="s">
        <v>106</v>
      </c>
      <c r="G46" s="11"/>
      <c r="H46" s="17"/>
      <c r="I46" s="17"/>
      <c r="J46" s="17"/>
      <c r="K46" s="17"/>
      <c r="L46" s="17"/>
      <c r="M46" s="17"/>
      <c r="N46" s="17"/>
      <c r="O46" s="87"/>
    </row>
    <row r="47" spans="1:15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v>1789330</v>
      </c>
      <c r="I47" s="134">
        <v>30</v>
      </c>
      <c r="J47" s="134">
        <v>0</v>
      </c>
      <c r="K47" s="134">
        <v>4780</v>
      </c>
      <c r="L47" s="134">
        <v>960</v>
      </c>
      <c r="M47" s="134">
        <v>160</v>
      </c>
      <c r="N47" s="134">
        <v>10</v>
      </c>
      <c r="O47" s="134"/>
    </row>
    <row r="48" spans="1:15" x14ac:dyDescent="0.25">
      <c r="A48" s="10"/>
      <c r="B48" s="1"/>
      <c r="C48" s="11"/>
      <c r="D48" s="82">
        <v>301</v>
      </c>
      <c r="E48" s="11" t="s">
        <v>98</v>
      </c>
      <c r="F48" s="11" t="s">
        <v>106</v>
      </c>
      <c r="G48" s="11"/>
      <c r="H48" s="17"/>
      <c r="I48" s="17"/>
      <c r="J48" s="17"/>
      <c r="K48" s="17"/>
      <c r="L48" s="17"/>
      <c r="M48" s="17"/>
      <c r="N48" s="17"/>
      <c r="O48" s="87"/>
    </row>
    <row r="49" spans="1:15" x14ac:dyDescent="0.25">
      <c r="A49" s="10"/>
      <c r="B49" s="1"/>
      <c r="C49" s="11"/>
      <c r="D49" s="82">
        <v>303</v>
      </c>
      <c r="E49" s="11" t="s">
        <v>98</v>
      </c>
      <c r="F49" s="11" t="s">
        <v>10</v>
      </c>
      <c r="G49" s="11"/>
      <c r="H49" s="17"/>
      <c r="I49" s="17"/>
      <c r="J49" s="17"/>
      <c r="K49" s="17"/>
      <c r="L49" s="17"/>
      <c r="M49" s="17"/>
      <c r="N49" s="17"/>
      <c r="O49" s="87"/>
    </row>
    <row r="50" spans="1:15" x14ac:dyDescent="0.25">
      <c r="A50" s="10"/>
      <c r="B50" s="1"/>
      <c r="C50" s="11"/>
      <c r="D50" s="82">
        <v>206</v>
      </c>
      <c r="E50" s="11" t="s">
        <v>98</v>
      </c>
      <c r="F50" s="11" t="s">
        <v>249</v>
      </c>
      <c r="G50" s="11"/>
      <c r="H50" s="17"/>
      <c r="I50" s="17"/>
      <c r="J50" s="17"/>
      <c r="K50" s="17"/>
      <c r="L50" s="17"/>
      <c r="M50" s="17"/>
      <c r="N50" s="17"/>
      <c r="O50" s="87"/>
    </row>
    <row r="51" spans="1:15" x14ac:dyDescent="0.25">
      <c r="A51" s="10"/>
      <c r="B51" s="1"/>
      <c r="C51" s="11"/>
      <c r="D51" s="82">
        <v>208</v>
      </c>
      <c r="E51" s="11" t="s">
        <v>98</v>
      </c>
      <c r="F51" s="11" t="s">
        <v>255</v>
      </c>
      <c r="G51" s="11"/>
      <c r="H51" s="17"/>
      <c r="I51" s="17"/>
      <c r="J51" s="17"/>
      <c r="K51" s="17"/>
      <c r="L51" s="17"/>
      <c r="M51" s="17"/>
      <c r="N51" s="17"/>
      <c r="O51" s="87"/>
    </row>
    <row r="52" spans="1:15" x14ac:dyDescent="0.25">
      <c r="A52" s="10"/>
      <c r="B52" s="1"/>
      <c r="C52" s="11"/>
      <c r="D52" s="82">
        <v>207</v>
      </c>
      <c r="E52" s="11" t="s">
        <v>98</v>
      </c>
      <c r="F52" s="11" t="s">
        <v>250</v>
      </c>
      <c r="G52" s="11"/>
      <c r="H52" s="17"/>
      <c r="I52" s="17"/>
      <c r="J52" s="17"/>
      <c r="K52" s="17"/>
      <c r="L52" s="17"/>
      <c r="M52" s="17"/>
      <c r="N52" s="17"/>
      <c r="O52" s="87"/>
    </row>
    <row r="53" spans="1:15" x14ac:dyDescent="0.25">
      <c r="A53" s="10"/>
      <c r="B53" s="1"/>
      <c r="C53" s="11"/>
      <c r="D53" s="82">
        <v>406</v>
      </c>
      <c r="E53" s="11" t="s">
        <v>98</v>
      </c>
      <c r="F53" s="11" t="s">
        <v>256</v>
      </c>
      <c r="G53" s="11"/>
      <c r="H53" s="119"/>
      <c r="I53" s="17"/>
      <c r="J53" s="17"/>
      <c r="K53" s="17"/>
      <c r="L53" s="17"/>
      <c r="M53" s="17"/>
      <c r="N53" s="17"/>
      <c r="O53" s="87"/>
    </row>
    <row r="54" spans="1:15" x14ac:dyDescent="0.25">
      <c r="A54" s="10"/>
      <c r="B54" s="1"/>
      <c r="C54" s="11"/>
      <c r="D54" s="82">
        <v>106</v>
      </c>
      <c r="E54" s="11" t="s">
        <v>98</v>
      </c>
      <c r="F54" s="11" t="s">
        <v>16</v>
      </c>
      <c r="G54" s="11"/>
      <c r="H54" s="119"/>
      <c r="I54" s="17"/>
      <c r="J54" s="17"/>
      <c r="K54" s="17"/>
      <c r="L54" s="17"/>
      <c r="M54" s="17"/>
      <c r="N54" s="17"/>
      <c r="O54" s="87"/>
    </row>
    <row r="55" spans="1:15" x14ac:dyDescent="0.25">
      <c r="A55" s="10"/>
      <c r="B55" s="1"/>
      <c r="C55" s="11"/>
      <c r="D55" s="82">
        <v>401</v>
      </c>
      <c r="E55" s="11" t="s">
        <v>98</v>
      </c>
      <c r="F55" s="11" t="s">
        <v>258</v>
      </c>
      <c r="G55" s="11"/>
      <c r="H55" s="119"/>
      <c r="I55" s="17"/>
      <c r="J55" s="17"/>
      <c r="K55" s="17"/>
      <c r="L55" s="17"/>
      <c r="M55" s="17"/>
      <c r="N55" s="17"/>
      <c r="O55" s="87"/>
    </row>
    <row r="56" spans="1:15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v>659400</v>
      </c>
      <c r="I56" s="134">
        <v>40</v>
      </c>
      <c r="J56" s="134">
        <v>20</v>
      </c>
      <c r="K56" s="134">
        <v>1760</v>
      </c>
      <c r="L56" s="134">
        <v>350</v>
      </c>
      <c r="M56" s="134">
        <v>60</v>
      </c>
      <c r="N56" s="134">
        <v>0</v>
      </c>
      <c r="O56" s="134"/>
    </row>
    <row r="57" spans="1:15" x14ac:dyDescent="0.25">
      <c r="A57" s="10"/>
      <c r="B57" s="1"/>
      <c r="C57" s="11"/>
      <c r="D57" s="82">
        <v>301</v>
      </c>
      <c r="E57" s="11" t="s">
        <v>98</v>
      </c>
      <c r="F57" s="11" t="s">
        <v>106</v>
      </c>
      <c r="G57" s="11"/>
      <c r="H57" s="17"/>
      <c r="I57" s="17"/>
      <c r="J57" s="17"/>
      <c r="K57" s="17"/>
      <c r="L57" s="17"/>
      <c r="M57" s="17"/>
      <c r="N57" s="17"/>
      <c r="O57" s="87"/>
    </row>
    <row r="58" spans="1:15" x14ac:dyDescent="0.25">
      <c r="A58" s="10"/>
      <c r="B58" s="1"/>
      <c r="C58" s="11"/>
      <c r="D58" s="82">
        <v>206</v>
      </c>
      <c r="E58" s="11" t="s">
        <v>98</v>
      </c>
      <c r="F58" s="11" t="s">
        <v>249</v>
      </c>
      <c r="G58" s="11"/>
      <c r="H58" s="17"/>
      <c r="I58" s="17"/>
      <c r="J58" s="17"/>
      <c r="K58" s="17"/>
      <c r="L58" s="17"/>
      <c r="M58" s="17"/>
      <c r="N58" s="17"/>
      <c r="O58" s="87"/>
    </row>
    <row r="59" spans="1:15" x14ac:dyDescent="0.25">
      <c r="A59" s="10"/>
      <c r="B59" s="1"/>
      <c r="C59" s="11"/>
      <c r="D59" s="82">
        <v>207</v>
      </c>
      <c r="E59" s="11" t="s">
        <v>98</v>
      </c>
      <c r="F59" s="11" t="s">
        <v>250</v>
      </c>
      <c r="G59" s="11"/>
      <c r="H59" s="17"/>
      <c r="I59" s="17"/>
      <c r="J59" s="17"/>
      <c r="K59" s="17"/>
      <c r="L59" s="17"/>
      <c r="M59" s="17"/>
      <c r="N59" s="17"/>
      <c r="O59" s="87"/>
    </row>
    <row r="60" spans="1:15" x14ac:dyDescent="0.25">
      <c r="A60" s="10"/>
      <c r="B60" s="1"/>
      <c r="C60" s="11"/>
      <c r="D60" s="82">
        <v>403</v>
      </c>
      <c r="E60" s="11" t="s">
        <v>98</v>
      </c>
      <c r="F60" s="11" t="s">
        <v>257</v>
      </c>
      <c r="G60" s="11"/>
      <c r="H60" s="119"/>
      <c r="I60" s="17"/>
      <c r="J60" s="17"/>
      <c r="K60" s="17"/>
      <c r="L60" s="17"/>
      <c r="M60" s="17"/>
      <c r="N60" s="17"/>
      <c r="O60" s="87"/>
    </row>
    <row r="61" spans="1:15" x14ac:dyDescent="0.25">
      <c r="A61" s="10"/>
      <c r="B61" s="1"/>
      <c r="C61" s="11"/>
      <c r="D61" s="82">
        <v>401</v>
      </c>
      <c r="E61" s="11" t="s">
        <v>98</v>
      </c>
      <c r="F61" s="11" t="s">
        <v>258</v>
      </c>
      <c r="G61" s="11"/>
      <c r="H61" s="119"/>
      <c r="I61" s="17"/>
      <c r="J61" s="17"/>
      <c r="K61" s="17"/>
      <c r="L61" s="17"/>
      <c r="M61" s="17"/>
      <c r="N61" s="17"/>
      <c r="O61" s="87"/>
    </row>
    <row r="62" spans="1:15" x14ac:dyDescent="0.25">
      <c r="A62" s="10"/>
      <c r="B62" s="1"/>
      <c r="C62" s="11"/>
      <c r="D62" s="82">
        <v>406</v>
      </c>
      <c r="E62" s="11" t="s">
        <v>98</v>
      </c>
      <c r="F62" s="11" t="s">
        <v>256</v>
      </c>
      <c r="G62" s="11"/>
      <c r="H62" s="119"/>
      <c r="I62" s="17"/>
      <c r="J62" s="17"/>
      <c r="K62" s="17"/>
      <c r="L62" s="17"/>
      <c r="M62" s="17"/>
      <c r="N62" s="17"/>
      <c r="O62" s="87"/>
    </row>
    <row r="63" spans="1:15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v>3732220</v>
      </c>
      <c r="I63" s="134">
        <v>660</v>
      </c>
      <c r="J63" s="134">
        <v>90</v>
      </c>
      <c r="K63" s="134">
        <v>11970</v>
      </c>
      <c r="L63" s="134">
        <v>81660</v>
      </c>
      <c r="M63" s="134">
        <v>1330</v>
      </c>
      <c r="N63" s="134">
        <v>0</v>
      </c>
      <c r="O63" s="134"/>
    </row>
    <row r="64" spans="1:15" x14ac:dyDescent="0.25">
      <c r="A64" s="10"/>
      <c r="B64" s="1"/>
      <c r="C64" s="11"/>
      <c r="D64" s="82">
        <v>301</v>
      </c>
      <c r="E64" s="11" t="s">
        <v>98</v>
      </c>
      <c r="F64" s="11" t="s">
        <v>106</v>
      </c>
      <c r="G64" s="11"/>
      <c r="H64" s="17"/>
      <c r="I64" s="17"/>
      <c r="J64" s="17"/>
      <c r="K64" s="17"/>
      <c r="L64" s="17"/>
      <c r="M64" s="17"/>
      <c r="N64" s="17"/>
      <c r="O64" s="87"/>
    </row>
    <row r="65" spans="1:15" x14ac:dyDescent="0.25">
      <c r="A65" s="10"/>
      <c r="B65" s="1"/>
      <c r="C65" s="11"/>
      <c r="D65" s="82">
        <v>206</v>
      </c>
      <c r="E65" s="11" t="s">
        <v>98</v>
      </c>
      <c r="F65" s="11" t="s">
        <v>249</v>
      </c>
      <c r="G65" s="11"/>
      <c r="H65" s="17"/>
      <c r="I65" s="17"/>
      <c r="J65" s="17"/>
      <c r="K65" s="17"/>
      <c r="L65" s="17"/>
      <c r="M65" s="17"/>
      <c r="N65" s="17"/>
      <c r="O65" s="87"/>
    </row>
    <row r="66" spans="1:15" x14ac:dyDescent="0.25">
      <c r="A66" s="10"/>
      <c r="B66" s="1"/>
      <c r="C66" s="11"/>
      <c r="D66" s="82">
        <v>207</v>
      </c>
      <c r="E66" s="11" t="s">
        <v>98</v>
      </c>
      <c r="F66" s="11" t="s">
        <v>250</v>
      </c>
      <c r="G66" s="11"/>
      <c r="H66" s="17"/>
      <c r="I66" s="17"/>
      <c r="J66" s="17"/>
      <c r="K66" s="17"/>
      <c r="L66" s="17"/>
      <c r="M66" s="17"/>
      <c r="N66" s="17"/>
      <c r="O66" s="87"/>
    </row>
    <row r="67" spans="1:15" x14ac:dyDescent="0.25">
      <c r="A67" s="10"/>
      <c r="B67" s="1"/>
      <c r="C67" s="11"/>
      <c r="D67" s="82">
        <v>403</v>
      </c>
      <c r="E67" s="11" t="s">
        <v>98</v>
      </c>
      <c r="F67" s="11" t="s">
        <v>257</v>
      </c>
      <c r="G67" s="11"/>
      <c r="H67" s="119"/>
      <c r="I67" s="17"/>
      <c r="J67" s="17"/>
      <c r="K67" s="17"/>
      <c r="L67" s="17"/>
      <c r="M67" s="17"/>
      <c r="N67" s="17"/>
      <c r="O67" s="87"/>
    </row>
    <row r="68" spans="1:15" x14ac:dyDescent="0.25">
      <c r="A68" s="10"/>
      <c r="B68" s="1"/>
      <c r="C68" s="11"/>
      <c r="D68" s="82">
        <v>401</v>
      </c>
      <c r="E68" s="11" t="s">
        <v>98</v>
      </c>
      <c r="F68" s="11" t="s">
        <v>258</v>
      </c>
      <c r="G68" s="11"/>
      <c r="H68" s="119"/>
      <c r="I68" s="17"/>
      <c r="J68" s="17"/>
      <c r="K68" s="17"/>
      <c r="L68" s="17"/>
      <c r="M68" s="17"/>
      <c r="N68" s="17"/>
      <c r="O68" s="87"/>
    </row>
    <row r="69" spans="1:15" x14ac:dyDescent="0.25">
      <c r="A69" s="11"/>
      <c r="B69" s="11"/>
      <c r="C69" s="11"/>
      <c r="D69" s="82">
        <v>406</v>
      </c>
      <c r="E69" s="11" t="s">
        <v>98</v>
      </c>
      <c r="F69" s="11" t="s">
        <v>256</v>
      </c>
      <c r="G69" s="11"/>
      <c r="H69" s="119"/>
      <c r="I69" s="17"/>
      <c r="J69" s="17"/>
      <c r="K69" s="17"/>
      <c r="L69" s="17"/>
      <c r="M69" s="17"/>
      <c r="N69" s="17"/>
      <c r="O69" s="87"/>
    </row>
    <row r="70" spans="1:15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/>
      <c r="I70" s="134"/>
      <c r="J70" s="134"/>
      <c r="K70" s="134"/>
      <c r="L70" s="134"/>
      <c r="M70" s="134"/>
      <c r="N70" s="134"/>
      <c r="O70" s="134"/>
    </row>
    <row r="71" spans="1:15" x14ac:dyDescent="0.25">
      <c r="A71" s="11"/>
      <c r="B71" s="1" t="s">
        <v>36</v>
      </c>
      <c r="C71" s="11"/>
      <c r="D71" s="82"/>
      <c r="E71" s="11"/>
      <c r="F71" s="11"/>
      <c r="G71" s="1"/>
      <c r="H71" s="15">
        <v>2650530</v>
      </c>
      <c r="I71" s="15">
        <v>50</v>
      </c>
      <c r="J71" s="15">
        <v>0</v>
      </c>
      <c r="K71" s="15">
        <v>7090</v>
      </c>
      <c r="L71" s="15">
        <v>1420</v>
      </c>
      <c r="M71" s="15">
        <v>240</v>
      </c>
      <c r="N71" s="15"/>
      <c r="O71" s="15"/>
    </row>
    <row r="72" spans="1:15" x14ac:dyDescent="0.25">
      <c r="A72" s="11"/>
      <c r="B72" s="11"/>
      <c r="C72" s="11"/>
      <c r="D72" s="82">
        <v>301</v>
      </c>
      <c r="E72" s="11" t="s">
        <v>98</v>
      </c>
      <c r="F72" s="11" t="s">
        <v>106</v>
      </c>
      <c r="G72" s="11"/>
      <c r="H72" s="17"/>
      <c r="I72" s="17"/>
      <c r="J72" s="17"/>
      <c r="K72" s="17"/>
      <c r="L72" s="17"/>
      <c r="M72" s="17"/>
      <c r="N72" s="17"/>
      <c r="O72" s="87"/>
    </row>
    <row r="73" spans="1:15" x14ac:dyDescent="0.25">
      <c r="A73" s="11"/>
      <c r="B73" s="11"/>
      <c r="C73" s="11"/>
      <c r="D73" s="82">
        <v>206</v>
      </c>
      <c r="E73" s="11" t="s">
        <v>98</v>
      </c>
      <c r="F73" s="11" t="s">
        <v>249</v>
      </c>
      <c r="G73" s="11"/>
      <c r="H73" s="17"/>
      <c r="I73" s="17"/>
      <c r="J73" s="17"/>
      <c r="K73" s="17"/>
      <c r="L73" s="17"/>
      <c r="M73" s="17"/>
      <c r="N73" s="17"/>
      <c r="O73" s="87"/>
    </row>
    <row r="74" spans="1:15" x14ac:dyDescent="0.25">
      <c r="A74" s="11"/>
      <c r="B74" s="11"/>
      <c r="C74" s="11"/>
      <c r="D74" s="82">
        <v>106</v>
      </c>
      <c r="E74" s="11" t="s">
        <v>98</v>
      </c>
      <c r="F74" s="11" t="s">
        <v>253</v>
      </c>
      <c r="G74" s="11"/>
      <c r="H74" s="17"/>
      <c r="I74" s="17"/>
      <c r="J74" s="17"/>
      <c r="K74" s="17"/>
      <c r="L74" s="17"/>
      <c r="M74" s="17"/>
      <c r="N74" s="17"/>
      <c r="O74" s="87"/>
    </row>
    <row r="75" spans="1:15" x14ac:dyDescent="0.25">
      <c r="A75" s="11"/>
      <c r="B75" s="11"/>
      <c r="C75" s="11"/>
      <c r="D75" s="82">
        <v>401</v>
      </c>
      <c r="E75" s="11" t="s">
        <v>98</v>
      </c>
      <c r="F75" s="11" t="s">
        <v>258</v>
      </c>
      <c r="G75" s="11"/>
      <c r="H75" s="119"/>
      <c r="I75" s="17"/>
      <c r="J75" s="17"/>
      <c r="K75" s="17"/>
      <c r="L75" s="17"/>
      <c r="M75" s="17"/>
      <c r="N75" s="17"/>
      <c r="O75" s="87"/>
    </row>
    <row r="76" spans="1:15" x14ac:dyDescent="0.25">
      <c r="A76" s="11"/>
      <c r="B76" s="11"/>
      <c r="C76" s="11"/>
      <c r="D76" s="82">
        <v>103</v>
      </c>
      <c r="E76" s="11" t="s">
        <v>98</v>
      </c>
      <c r="F76" s="11" t="s">
        <v>9</v>
      </c>
      <c r="G76" s="11"/>
      <c r="H76" s="17"/>
      <c r="I76" s="17"/>
      <c r="J76" s="17"/>
      <c r="K76" s="17"/>
      <c r="L76" s="17"/>
      <c r="M76" s="17"/>
      <c r="N76" s="17"/>
      <c r="O76" s="87"/>
    </row>
    <row r="77" spans="1:15" x14ac:dyDescent="0.25">
      <c r="A77" s="11"/>
      <c r="B77" s="1" t="s">
        <v>35</v>
      </c>
      <c r="C77" s="11"/>
      <c r="D77" s="82"/>
      <c r="E77" s="11"/>
      <c r="F77" s="11"/>
      <c r="G77" s="1"/>
      <c r="H77" s="15">
        <v>103950</v>
      </c>
      <c r="I77" s="15">
        <v>0</v>
      </c>
      <c r="J77" s="15">
        <v>0</v>
      </c>
      <c r="K77" s="15">
        <v>280</v>
      </c>
      <c r="L77" s="15">
        <v>60</v>
      </c>
      <c r="M77" s="15">
        <v>10</v>
      </c>
      <c r="N77" s="15"/>
      <c r="O77" s="15"/>
    </row>
    <row r="78" spans="1:15" x14ac:dyDescent="0.25">
      <c r="A78" s="11"/>
      <c r="B78" s="11"/>
      <c r="C78" s="11"/>
      <c r="D78" s="82">
        <v>301</v>
      </c>
      <c r="E78" s="11" t="s">
        <v>98</v>
      </c>
      <c r="F78" s="11" t="s">
        <v>106</v>
      </c>
      <c r="G78" s="11"/>
      <c r="H78" s="17"/>
      <c r="I78" s="17"/>
      <c r="J78" s="17"/>
      <c r="K78" s="17"/>
      <c r="L78" s="17"/>
      <c r="M78" s="17"/>
      <c r="N78" s="17"/>
      <c r="O78" s="87"/>
    </row>
    <row r="79" spans="1:15" x14ac:dyDescent="0.25">
      <c r="A79" s="11"/>
      <c r="B79" s="11"/>
      <c r="C79" s="11"/>
      <c r="D79" s="82">
        <v>206</v>
      </c>
      <c r="E79" s="11" t="s">
        <v>98</v>
      </c>
      <c r="F79" s="11" t="s">
        <v>249</v>
      </c>
      <c r="G79" s="11"/>
      <c r="H79" s="17"/>
      <c r="I79" s="17"/>
      <c r="J79" s="17"/>
      <c r="K79" s="17"/>
      <c r="L79" s="17"/>
      <c r="M79" s="17"/>
      <c r="N79" s="17"/>
      <c r="O79" s="87"/>
    </row>
    <row r="80" spans="1:15" x14ac:dyDescent="0.25">
      <c r="A80" s="11"/>
      <c r="B80" s="1" t="s">
        <v>37</v>
      </c>
      <c r="C80" s="11"/>
      <c r="D80" s="82"/>
      <c r="E80" s="11"/>
      <c r="F80" s="11"/>
      <c r="G80" s="1"/>
      <c r="H80" s="15">
        <v>20970</v>
      </c>
      <c r="I80" s="15">
        <v>0</v>
      </c>
      <c r="J80" s="15">
        <v>0</v>
      </c>
      <c r="K80" s="15">
        <v>60</v>
      </c>
      <c r="L80" s="15">
        <v>10</v>
      </c>
      <c r="M80" s="15">
        <v>0</v>
      </c>
      <c r="N80" s="15"/>
      <c r="O80" s="15"/>
    </row>
    <row r="81" spans="1:15" x14ac:dyDescent="0.25">
      <c r="A81" s="11"/>
      <c r="B81" s="11"/>
      <c r="C81" s="11"/>
      <c r="D81" s="82">
        <v>301</v>
      </c>
      <c r="E81" s="11" t="s">
        <v>98</v>
      </c>
      <c r="F81" s="11" t="s">
        <v>106</v>
      </c>
      <c r="G81" s="11"/>
      <c r="H81" s="17"/>
      <c r="I81" s="17"/>
      <c r="J81" s="17"/>
      <c r="K81" s="17"/>
      <c r="L81" s="17"/>
      <c r="M81" s="17"/>
      <c r="N81" s="17"/>
      <c r="O81" s="87"/>
    </row>
    <row r="82" spans="1:15" x14ac:dyDescent="0.25">
      <c r="A82" s="11"/>
      <c r="B82" s="11"/>
      <c r="C82" s="11"/>
      <c r="D82" s="82">
        <v>206</v>
      </c>
      <c r="E82" s="11" t="s">
        <v>98</v>
      </c>
      <c r="F82" s="11" t="s">
        <v>249</v>
      </c>
      <c r="G82" s="11"/>
      <c r="H82" s="17"/>
      <c r="I82" s="17"/>
      <c r="J82" s="17"/>
      <c r="K82" s="17"/>
      <c r="L82" s="17"/>
      <c r="M82" s="17"/>
      <c r="N82" s="17"/>
      <c r="O82" s="87"/>
    </row>
    <row r="83" spans="1:15" x14ac:dyDescent="0.25">
      <c r="A83" s="11"/>
      <c r="B83" s="11"/>
      <c r="C83" s="11"/>
      <c r="D83" s="82">
        <v>207</v>
      </c>
      <c r="E83" s="11" t="s">
        <v>98</v>
      </c>
      <c r="F83" s="11" t="s">
        <v>12</v>
      </c>
      <c r="G83" s="11"/>
      <c r="H83" s="17"/>
      <c r="I83" s="95"/>
      <c r="J83" s="17"/>
      <c r="K83" s="17"/>
      <c r="L83" s="17"/>
      <c r="M83" s="17"/>
      <c r="N83" s="17"/>
      <c r="O83" s="87"/>
    </row>
    <row r="84" spans="1:15" x14ac:dyDescent="0.25">
      <c r="A84" s="11"/>
      <c r="B84" s="11"/>
      <c r="C84" s="11"/>
      <c r="D84" s="82">
        <v>401</v>
      </c>
      <c r="E84" s="11" t="s">
        <v>98</v>
      </c>
      <c r="F84" s="11" t="s">
        <v>258</v>
      </c>
      <c r="G84" s="11"/>
      <c r="H84" s="119"/>
      <c r="I84" s="95"/>
      <c r="J84" s="17"/>
      <c r="K84" s="17"/>
      <c r="L84" s="17"/>
      <c r="M84" s="17"/>
      <c r="N84" s="17"/>
      <c r="O84" s="87"/>
    </row>
    <row r="85" spans="1:15" x14ac:dyDescent="0.25">
      <c r="A85" s="11"/>
      <c r="B85" s="11"/>
      <c r="C85" s="11"/>
      <c r="D85" s="82">
        <v>406</v>
      </c>
      <c r="E85" s="11" t="s">
        <v>98</v>
      </c>
      <c r="F85" s="11" t="s">
        <v>256</v>
      </c>
      <c r="G85" s="11"/>
      <c r="H85" s="119"/>
      <c r="I85" s="95"/>
      <c r="J85" s="17"/>
      <c r="K85" s="17"/>
      <c r="L85" s="17"/>
      <c r="M85" s="17"/>
      <c r="N85" s="17"/>
      <c r="O85" s="87"/>
    </row>
    <row r="86" spans="1:15" x14ac:dyDescent="0.25">
      <c r="A86" s="11"/>
      <c r="B86" s="1" t="s">
        <v>38</v>
      </c>
      <c r="C86" s="11"/>
      <c r="D86" s="82"/>
      <c r="E86" s="11"/>
      <c r="F86" s="11"/>
      <c r="G86" s="1"/>
      <c r="H86" s="15">
        <v>187190</v>
      </c>
      <c r="I86" s="15">
        <v>0</v>
      </c>
      <c r="J86" s="15">
        <v>0</v>
      </c>
      <c r="K86" s="15">
        <v>500</v>
      </c>
      <c r="L86" s="15">
        <v>100</v>
      </c>
      <c r="M86" s="15">
        <v>20</v>
      </c>
      <c r="N86" s="15"/>
      <c r="O86" s="15"/>
    </row>
    <row r="87" spans="1:15" x14ac:dyDescent="0.25">
      <c r="A87" s="11"/>
      <c r="B87" s="11"/>
      <c r="C87" s="11"/>
      <c r="D87" s="82">
        <v>301</v>
      </c>
      <c r="E87" s="11" t="s">
        <v>98</v>
      </c>
      <c r="F87" s="11" t="s">
        <v>106</v>
      </c>
      <c r="G87" s="11"/>
      <c r="H87" s="17"/>
      <c r="I87" s="17"/>
      <c r="J87" s="17"/>
      <c r="K87" s="17"/>
      <c r="L87" s="17"/>
      <c r="M87" s="17"/>
      <c r="N87" s="17"/>
      <c r="O87" s="87"/>
    </row>
    <row r="88" spans="1:15" x14ac:dyDescent="0.25">
      <c r="A88" s="11"/>
      <c r="B88" s="11"/>
      <c r="C88" s="11"/>
      <c r="D88" s="82">
        <v>206</v>
      </c>
      <c r="E88" s="11" t="s">
        <v>98</v>
      </c>
      <c r="F88" s="11" t="s">
        <v>249</v>
      </c>
      <c r="G88" s="11"/>
      <c r="H88" s="17"/>
      <c r="I88" s="17"/>
      <c r="J88" s="17"/>
      <c r="K88" s="17"/>
      <c r="L88" s="17"/>
      <c r="M88" s="17"/>
      <c r="N88" s="17"/>
      <c r="O88" s="87"/>
    </row>
    <row r="89" spans="1:15" x14ac:dyDescent="0.25">
      <c r="A89" s="11"/>
      <c r="B89" s="11"/>
      <c r="C89" s="11"/>
      <c r="D89" s="82">
        <v>406</v>
      </c>
      <c r="E89" s="11" t="s">
        <v>98</v>
      </c>
      <c r="F89" s="11" t="s">
        <v>256</v>
      </c>
      <c r="G89" s="11"/>
      <c r="H89" s="119"/>
      <c r="I89" s="95"/>
      <c r="J89" s="17"/>
      <c r="K89" s="17"/>
      <c r="L89" s="17"/>
      <c r="M89" s="17"/>
      <c r="N89" s="17"/>
      <c r="O89" s="87"/>
    </row>
    <row r="90" spans="1:15" x14ac:dyDescent="0.25">
      <c r="A90" s="11"/>
      <c r="B90" s="1" t="s">
        <v>39</v>
      </c>
      <c r="C90" s="11"/>
      <c r="D90" s="82"/>
      <c r="E90" s="11"/>
      <c r="F90" s="11"/>
      <c r="G90" s="1"/>
      <c r="H90" s="15">
        <v>14040550</v>
      </c>
      <c r="I90" s="15">
        <v>750</v>
      </c>
      <c r="J90" s="15">
        <v>110</v>
      </c>
      <c r="K90" s="15">
        <v>33920</v>
      </c>
      <c r="L90" s="15">
        <v>4920</v>
      </c>
      <c r="M90" s="15">
        <v>1030</v>
      </c>
      <c r="N90" s="15">
        <v>6120</v>
      </c>
      <c r="O90" s="15"/>
    </row>
    <row r="91" spans="1:15" x14ac:dyDescent="0.25">
      <c r="A91" s="11"/>
      <c r="B91" s="11"/>
      <c r="C91" s="11"/>
      <c r="D91" s="82">
        <v>301</v>
      </c>
      <c r="E91" s="11" t="s">
        <v>98</v>
      </c>
      <c r="F91" s="11" t="s">
        <v>106</v>
      </c>
      <c r="G91" s="11"/>
      <c r="H91" s="17"/>
      <c r="I91" s="17"/>
      <c r="J91" s="17"/>
      <c r="K91" s="17"/>
      <c r="L91" s="17"/>
      <c r="M91" s="17"/>
      <c r="N91" s="17"/>
      <c r="O91" s="87"/>
    </row>
    <row r="92" spans="1:15" x14ac:dyDescent="0.25">
      <c r="A92" s="11"/>
      <c r="B92" s="11"/>
      <c r="C92" s="11"/>
      <c r="D92" s="82">
        <v>206</v>
      </c>
      <c r="E92" s="11" t="s">
        <v>98</v>
      </c>
      <c r="F92" s="11" t="s">
        <v>249</v>
      </c>
      <c r="G92" s="11"/>
      <c r="H92" s="17"/>
      <c r="I92" s="17"/>
      <c r="J92" s="17"/>
      <c r="K92" s="17"/>
      <c r="L92" s="17"/>
      <c r="M92" s="17"/>
      <c r="N92" s="17"/>
      <c r="O92" s="87"/>
    </row>
    <row r="93" spans="1:15" x14ac:dyDescent="0.25">
      <c r="A93" s="11"/>
      <c r="B93" s="11"/>
      <c r="C93" s="11"/>
      <c r="D93" s="82">
        <v>207</v>
      </c>
      <c r="E93" s="11" t="s">
        <v>98</v>
      </c>
      <c r="F93" s="11" t="s">
        <v>250</v>
      </c>
      <c r="G93" s="11"/>
      <c r="H93" s="17"/>
      <c r="I93" s="17"/>
      <c r="J93" s="17"/>
      <c r="K93" s="17"/>
      <c r="L93" s="17"/>
      <c r="M93" s="17"/>
      <c r="N93" s="17"/>
      <c r="O93" s="87"/>
    </row>
    <row r="94" spans="1:15" x14ac:dyDescent="0.25">
      <c r="A94" s="11"/>
      <c r="B94" s="28" t="s">
        <v>272</v>
      </c>
      <c r="C94" s="28"/>
      <c r="D94" s="83"/>
      <c r="E94" s="29"/>
      <c r="F94" s="11"/>
      <c r="G94" s="1"/>
      <c r="H94" s="15"/>
      <c r="I94" s="15"/>
      <c r="J94" s="15"/>
      <c r="K94" s="15"/>
      <c r="L94" s="15"/>
      <c r="M94" s="15"/>
      <c r="N94" s="15"/>
      <c r="O94" s="15"/>
    </row>
    <row r="95" spans="1:15" x14ac:dyDescent="0.25">
      <c r="A95" s="11"/>
      <c r="B95" s="28"/>
      <c r="C95" s="28"/>
      <c r="D95" s="84">
        <v>301</v>
      </c>
      <c r="E95" s="11" t="s">
        <v>98</v>
      </c>
      <c r="F95" s="11" t="s">
        <v>106</v>
      </c>
      <c r="G95" s="1"/>
      <c r="H95" s="17"/>
      <c r="I95" s="17"/>
      <c r="J95" s="17"/>
      <c r="K95" s="17"/>
      <c r="L95" s="17"/>
      <c r="M95" s="17"/>
      <c r="N95" s="17"/>
      <c r="O95" s="87"/>
    </row>
    <row r="96" spans="1:15" x14ac:dyDescent="0.25">
      <c r="A96" s="11"/>
      <c r="B96" s="28"/>
      <c r="C96" s="28"/>
      <c r="D96" s="84">
        <v>208</v>
      </c>
      <c r="E96" s="11" t="s">
        <v>98</v>
      </c>
      <c r="F96" s="11" t="s">
        <v>255</v>
      </c>
      <c r="G96" s="11"/>
      <c r="H96" s="17"/>
      <c r="I96" s="17"/>
      <c r="J96" s="17"/>
      <c r="K96" s="17"/>
      <c r="L96" s="17"/>
      <c r="M96" s="17"/>
      <c r="N96" s="17"/>
      <c r="O96" s="87"/>
    </row>
    <row r="97" spans="1:15" x14ac:dyDescent="0.25">
      <c r="A97" s="11"/>
      <c r="B97" s="81"/>
      <c r="C97" s="81"/>
      <c r="D97" s="84">
        <v>206</v>
      </c>
      <c r="E97" s="11" t="s">
        <v>98</v>
      </c>
      <c r="F97" s="11" t="s">
        <v>249</v>
      </c>
      <c r="G97" s="1"/>
      <c r="H97" s="17"/>
      <c r="I97" s="17"/>
      <c r="J97" s="17"/>
      <c r="K97" s="17"/>
      <c r="L97" s="17"/>
      <c r="M97" s="17"/>
      <c r="N97" s="17"/>
      <c r="O97" s="87"/>
    </row>
    <row r="98" spans="1:15" x14ac:dyDescent="0.25">
      <c r="A98" s="11"/>
      <c r="B98" s="81"/>
      <c r="C98" s="81"/>
      <c r="D98" s="84">
        <v>207</v>
      </c>
      <c r="E98" s="11" t="s">
        <v>98</v>
      </c>
      <c r="F98" s="11" t="s">
        <v>250</v>
      </c>
      <c r="G98" s="1"/>
      <c r="H98" s="17"/>
      <c r="I98" s="17"/>
      <c r="J98" s="17"/>
      <c r="K98" s="17"/>
      <c r="L98" s="17"/>
      <c r="M98" s="17"/>
      <c r="N98" s="17"/>
      <c r="O98" s="87"/>
    </row>
    <row r="99" spans="1:15" x14ac:dyDescent="0.25">
      <c r="A99" s="11"/>
      <c r="B99" s="81"/>
      <c r="C99" s="81"/>
      <c r="D99" s="84">
        <v>209</v>
      </c>
      <c r="E99" s="11" t="s">
        <v>98</v>
      </c>
      <c r="F99" s="2" t="s">
        <v>268</v>
      </c>
      <c r="G99" s="1"/>
      <c r="H99" s="17"/>
      <c r="I99" s="17"/>
      <c r="J99" s="17"/>
      <c r="K99" s="17"/>
      <c r="L99" s="17"/>
      <c r="M99" s="17"/>
      <c r="N99" s="17"/>
      <c r="O99" s="87"/>
    </row>
    <row r="100" spans="1:15" x14ac:dyDescent="0.25">
      <c r="A100" s="11"/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/>
      <c r="I100" s="17"/>
      <c r="J100" s="17"/>
      <c r="K100" s="17"/>
      <c r="L100" s="17"/>
      <c r="M100" s="17"/>
      <c r="N100" s="17"/>
      <c r="O100" s="87"/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v>49863940</v>
      </c>
      <c r="I101" s="129">
        <v>17760</v>
      </c>
      <c r="J101" s="129">
        <v>2570</v>
      </c>
      <c r="K101" s="129">
        <v>483380</v>
      </c>
      <c r="L101" s="129">
        <v>2353160</v>
      </c>
      <c r="M101" s="129">
        <v>439530</v>
      </c>
      <c r="N101" s="129">
        <v>14640</v>
      </c>
      <c r="O101" s="129"/>
    </row>
    <row r="102" spans="1:15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v>1869130</v>
      </c>
      <c r="I102" s="134">
        <v>10</v>
      </c>
      <c r="J102" s="134">
        <v>50</v>
      </c>
      <c r="K102" s="134">
        <v>6540</v>
      </c>
      <c r="L102" s="134"/>
      <c r="M102" s="134"/>
      <c r="N102" s="134">
        <v>1170</v>
      </c>
      <c r="O102" s="134"/>
    </row>
    <row r="103" spans="1:15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/>
      <c r="I103" s="15"/>
      <c r="J103" s="15"/>
      <c r="K103" s="15"/>
      <c r="L103" s="15"/>
      <c r="M103" s="15"/>
      <c r="N103" s="15"/>
      <c r="O103" s="15"/>
    </row>
    <row r="104" spans="1:15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/>
      <c r="I104" s="17"/>
      <c r="J104" s="17"/>
      <c r="K104" s="17"/>
      <c r="L104" s="17"/>
      <c r="M104" s="17"/>
      <c r="N104" s="17"/>
      <c r="O104" s="87"/>
    </row>
    <row r="105" spans="1:15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v>1869130</v>
      </c>
      <c r="I105" s="15">
        <v>10</v>
      </c>
      <c r="J105" s="15">
        <v>50</v>
      </c>
      <c r="K105" s="15">
        <v>6540</v>
      </c>
      <c r="L105" s="15"/>
      <c r="M105" s="15"/>
      <c r="N105" s="15">
        <v>1170</v>
      </c>
      <c r="O105" s="15"/>
    </row>
    <row r="106" spans="1:15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/>
      <c r="I106" s="17"/>
      <c r="J106" s="17"/>
      <c r="K106" s="17"/>
      <c r="L106" s="17"/>
      <c r="M106" s="17"/>
      <c r="N106" s="17"/>
      <c r="O106" s="87"/>
    </row>
    <row r="107" spans="1:15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v>45278920</v>
      </c>
      <c r="I107" s="134">
        <v>17620</v>
      </c>
      <c r="J107" s="134">
        <v>2460</v>
      </c>
      <c r="K107" s="134">
        <v>451630</v>
      </c>
      <c r="L107" s="134">
        <v>2338570</v>
      </c>
      <c r="M107" s="134">
        <v>436590</v>
      </c>
      <c r="N107" s="134">
        <v>12570</v>
      </c>
      <c r="O107" s="134"/>
    </row>
    <row r="108" spans="1:15" x14ac:dyDescent="0.25">
      <c r="A108" s="10"/>
      <c r="B108" s="21" t="s">
        <v>147</v>
      </c>
      <c r="C108" s="27"/>
      <c r="D108" s="85"/>
      <c r="E108" s="27"/>
      <c r="F108" s="27"/>
      <c r="G108" s="27"/>
      <c r="H108" s="15"/>
      <c r="I108" s="15"/>
      <c r="J108" s="15"/>
      <c r="K108" s="15"/>
      <c r="L108" s="15"/>
      <c r="M108" s="15"/>
      <c r="N108" s="15"/>
      <c r="O108" s="15"/>
    </row>
    <row r="109" spans="1:15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/>
      <c r="I109" s="17"/>
      <c r="J109" s="17"/>
      <c r="K109" s="17"/>
      <c r="L109" s="17"/>
      <c r="M109" s="17"/>
      <c r="N109" s="17"/>
      <c r="O109" s="87"/>
    </row>
    <row r="110" spans="1:15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/>
      <c r="I110" s="17"/>
      <c r="J110" s="17"/>
      <c r="K110" s="17"/>
      <c r="L110" s="17"/>
      <c r="M110" s="17"/>
      <c r="N110" s="17"/>
      <c r="O110" s="87"/>
    </row>
    <row r="111" spans="1:15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/>
      <c r="I111" s="17"/>
      <c r="J111" s="17"/>
      <c r="K111" s="17"/>
      <c r="L111" s="17"/>
      <c r="M111" s="17"/>
      <c r="N111" s="17"/>
      <c r="O111" s="87"/>
    </row>
    <row r="112" spans="1:15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/>
      <c r="I112" s="17"/>
      <c r="J112" s="17"/>
      <c r="K112" s="17"/>
      <c r="L112" s="17"/>
      <c r="M112" s="17"/>
      <c r="N112" s="17"/>
      <c r="O112" s="87"/>
    </row>
    <row r="113" spans="1:15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/>
      <c r="I113" s="17"/>
      <c r="J113" s="17"/>
      <c r="K113" s="17"/>
      <c r="L113" s="17"/>
      <c r="M113" s="17"/>
      <c r="N113" s="17"/>
      <c r="O113" s="87"/>
    </row>
    <row r="114" spans="1:15" x14ac:dyDescent="0.25">
      <c r="A114" s="10"/>
      <c r="B114" s="21" t="s">
        <v>146</v>
      </c>
      <c r="C114" s="27"/>
      <c r="D114" s="85"/>
      <c r="E114" s="27"/>
      <c r="F114" s="27"/>
      <c r="G114" s="27"/>
      <c r="H114" s="15"/>
      <c r="I114" s="15"/>
      <c r="J114" s="15"/>
      <c r="K114" s="15"/>
      <c r="L114" s="15"/>
      <c r="M114" s="15"/>
      <c r="N114" s="15"/>
      <c r="O114" s="15"/>
    </row>
    <row r="115" spans="1:15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/>
      <c r="I115" s="17"/>
      <c r="J115" s="17"/>
      <c r="K115" s="17"/>
      <c r="L115" s="17"/>
      <c r="M115" s="17"/>
      <c r="N115" s="17"/>
      <c r="O115" s="87"/>
    </row>
    <row r="116" spans="1:15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v>60650</v>
      </c>
      <c r="I116" s="134">
        <v>0</v>
      </c>
      <c r="J116" s="134">
        <v>20</v>
      </c>
      <c r="K116" s="134">
        <v>980</v>
      </c>
      <c r="L116" s="134">
        <v>820</v>
      </c>
      <c r="M116" s="134">
        <v>160</v>
      </c>
      <c r="N116" s="134">
        <v>30</v>
      </c>
      <c r="O116" s="134"/>
    </row>
    <row r="117" spans="1:15" x14ac:dyDescent="0.25">
      <c r="A117" s="10"/>
      <c r="B117" s="1"/>
      <c r="C117" s="11"/>
      <c r="D117" s="82">
        <v>206</v>
      </c>
      <c r="E117" s="11" t="s">
        <v>98</v>
      </c>
      <c r="F117" s="27" t="s">
        <v>249</v>
      </c>
      <c r="G117" s="27"/>
      <c r="H117" s="17"/>
      <c r="I117" s="17"/>
      <c r="J117" s="17"/>
      <c r="K117" s="17"/>
      <c r="L117" s="17"/>
      <c r="M117" s="17"/>
      <c r="N117" s="17"/>
      <c r="O117" s="87"/>
    </row>
    <row r="118" spans="1:15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v>983840</v>
      </c>
      <c r="I118" s="134">
        <v>90</v>
      </c>
      <c r="J118" s="134">
        <v>30</v>
      </c>
      <c r="K118" s="134">
        <v>19760</v>
      </c>
      <c r="L118" s="134">
        <v>13170</v>
      </c>
      <c r="M118" s="134">
        <v>2630</v>
      </c>
      <c r="N118" s="134">
        <v>870</v>
      </c>
      <c r="O118" s="134"/>
    </row>
    <row r="119" spans="1:15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/>
      <c r="I119" s="15"/>
      <c r="J119" s="15"/>
      <c r="K119" s="15"/>
      <c r="L119" s="15"/>
      <c r="M119" s="15"/>
      <c r="N119" s="15"/>
      <c r="O119" s="15"/>
    </row>
    <row r="120" spans="1:15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/>
      <c r="I120" s="17"/>
      <c r="J120" s="17"/>
      <c r="K120" s="17"/>
      <c r="L120" s="17"/>
      <c r="M120" s="17"/>
      <c r="N120" s="17"/>
      <c r="O120" s="87"/>
    </row>
    <row r="121" spans="1:15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/>
      <c r="I121" s="17"/>
      <c r="J121" s="17"/>
      <c r="K121" s="17"/>
      <c r="L121" s="17"/>
      <c r="M121" s="17"/>
      <c r="N121" s="17"/>
      <c r="O121" s="87"/>
    </row>
    <row r="122" spans="1:15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v>983840</v>
      </c>
      <c r="I122" s="15">
        <v>90</v>
      </c>
      <c r="J122" s="15">
        <v>30</v>
      </c>
      <c r="K122" s="15">
        <v>19760</v>
      </c>
      <c r="L122" s="15">
        <v>13170</v>
      </c>
      <c r="M122" s="15">
        <v>2630</v>
      </c>
      <c r="N122" s="15">
        <v>870</v>
      </c>
      <c r="O122" s="15"/>
    </row>
    <row r="123" spans="1:15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/>
      <c r="I123" s="17"/>
      <c r="J123" s="17"/>
      <c r="K123" s="17"/>
      <c r="L123" s="17"/>
      <c r="M123" s="17"/>
      <c r="N123" s="17"/>
      <c r="O123" s="87"/>
    </row>
    <row r="124" spans="1:15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/>
      <c r="I124" s="17"/>
      <c r="J124" s="17"/>
      <c r="K124" s="17"/>
      <c r="L124" s="17"/>
      <c r="M124" s="17"/>
      <c r="N124" s="17"/>
      <c r="O124" s="87"/>
    </row>
    <row r="125" spans="1:15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v>1671400</v>
      </c>
      <c r="I125" s="134">
        <v>30</v>
      </c>
      <c r="J125" s="134">
        <v>0</v>
      </c>
      <c r="K125" s="134">
        <v>4470</v>
      </c>
      <c r="L125" s="134">
        <v>600</v>
      </c>
      <c r="M125" s="134">
        <v>150</v>
      </c>
      <c r="N125" s="134"/>
      <c r="O125" s="134"/>
    </row>
    <row r="126" spans="1:15" x14ac:dyDescent="0.25">
      <c r="A126" s="10" t="s">
        <v>63</v>
      </c>
      <c r="B126" s="1" t="s">
        <v>64</v>
      </c>
      <c r="C126" s="11"/>
      <c r="D126" s="82"/>
      <c r="E126" s="11"/>
      <c r="F126" s="11"/>
      <c r="G126" s="11"/>
      <c r="H126" s="15">
        <v>1671400</v>
      </c>
      <c r="I126" s="15">
        <v>30</v>
      </c>
      <c r="J126" s="15">
        <v>0</v>
      </c>
      <c r="K126" s="15">
        <v>4470</v>
      </c>
      <c r="L126" s="15">
        <v>600</v>
      </c>
      <c r="M126" s="15">
        <v>150</v>
      </c>
      <c r="N126" s="15"/>
      <c r="O126" s="15"/>
    </row>
    <row r="127" spans="1:15" x14ac:dyDescent="0.25">
      <c r="A127" s="10"/>
      <c r="B127" s="1"/>
      <c r="C127" s="11"/>
      <c r="D127" s="82">
        <v>301</v>
      </c>
      <c r="E127" s="11" t="s">
        <v>98</v>
      </c>
      <c r="F127" s="11" t="s">
        <v>8</v>
      </c>
      <c r="G127" s="11"/>
      <c r="H127" s="17"/>
      <c r="I127" s="17"/>
      <c r="J127" s="17"/>
      <c r="K127" s="17"/>
      <c r="L127" s="17"/>
      <c r="M127" s="17"/>
      <c r="N127" s="17"/>
      <c r="O127" s="87"/>
    </row>
    <row r="128" spans="1:15" x14ac:dyDescent="0.25">
      <c r="A128" s="10"/>
      <c r="B128" s="1"/>
      <c r="C128" s="11"/>
      <c r="D128" s="82">
        <v>206</v>
      </c>
      <c r="E128" s="11" t="s">
        <v>98</v>
      </c>
      <c r="F128" s="11" t="s">
        <v>249</v>
      </c>
      <c r="G128" s="11"/>
      <c r="H128" s="17"/>
      <c r="I128" s="17"/>
      <c r="J128" s="17"/>
      <c r="K128" s="17"/>
      <c r="L128" s="17"/>
      <c r="M128" s="17"/>
      <c r="N128" s="17"/>
      <c r="O128" s="87"/>
    </row>
    <row r="129" spans="1:15" x14ac:dyDescent="0.25">
      <c r="A129" s="10"/>
      <c r="B129" s="1"/>
      <c r="C129" s="11"/>
      <c r="D129" s="82">
        <v>303</v>
      </c>
      <c r="E129" s="11" t="s">
        <v>98</v>
      </c>
      <c r="F129" s="11" t="s">
        <v>10</v>
      </c>
      <c r="G129" s="11"/>
      <c r="H129" s="17"/>
      <c r="I129" s="17"/>
      <c r="J129" s="17"/>
      <c r="K129" s="17"/>
      <c r="L129" s="17"/>
      <c r="M129" s="17"/>
      <c r="N129" s="17"/>
      <c r="O129" s="87"/>
    </row>
    <row r="130" spans="1:15" x14ac:dyDescent="0.25">
      <c r="A130" s="10" t="s">
        <v>66</v>
      </c>
      <c r="B130" s="1" t="s">
        <v>65</v>
      </c>
      <c r="C130" s="11"/>
      <c r="D130" s="82"/>
      <c r="E130" s="11"/>
      <c r="F130" s="11"/>
      <c r="G130" s="11"/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v>31746240</v>
      </c>
      <c r="I131" s="129">
        <v>6580</v>
      </c>
      <c r="J131" s="129">
        <v>110</v>
      </c>
      <c r="K131" s="129">
        <v>25750</v>
      </c>
      <c r="L131" s="129">
        <v>118350</v>
      </c>
      <c r="M131" s="129">
        <v>6690</v>
      </c>
      <c r="N131" s="129">
        <v>5960</v>
      </c>
      <c r="O131" s="129"/>
    </row>
    <row r="132" spans="1:15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v>3922200</v>
      </c>
      <c r="I132" s="134">
        <v>1660</v>
      </c>
      <c r="J132" s="134">
        <v>20</v>
      </c>
      <c r="K132" s="134">
        <v>3620</v>
      </c>
      <c r="L132" s="134">
        <v>38810</v>
      </c>
      <c r="M132" s="134">
        <v>1790</v>
      </c>
      <c r="N132" s="134">
        <v>1530</v>
      </c>
      <c r="O132" s="134"/>
    </row>
    <row r="133" spans="1:15" x14ac:dyDescent="0.25">
      <c r="A133" s="10"/>
      <c r="B133" s="1"/>
      <c r="C133" s="11"/>
      <c r="D133" s="82">
        <v>401</v>
      </c>
      <c r="E133" s="11" t="s">
        <v>98</v>
      </c>
      <c r="F133" s="11" t="s">
        <v>258</v>
      </c>
      <c r="G133" s="11"/>
      <c r="H133" s="119"/>
      <c r="I133" s="17"/>
      <c r="J133" s="17"/>
      <c r="K133" s="17"/>
      <c r="L133" s="17"/>
      <c r="M133" s="17"/>
      <c r="N133" s="17"/>
      <c r="O133" s="87"/>
    </row>
    <row r="134" spans="1:15" x14ac:dyDescent="0.25">
      <c r="A134" s="10"/>
      <c r="B134" s="1"/>
      <c r="C134" s="11"/>
      <c r="D134" s="82">
        <v>301</v>
      </c>
      <c r="E134" s="11" t="s">
        <v>98</v>
      </c>
      <c r="F134" s="11" t="s">
        <v>8</v>
      </c>
      <c r="G134" s="11"/>
      <c r="H134" s="17"/>
      <c r="I134" s="17"/>
      <c r="J134" s="17"/>
      <c r="K134" s="17"/>
      <c r="L134" s="17"/>
      <c r="M134" s="17"/>
      <c r="N134" s="17"/>
      <c r="O134" s="87"/>
    </row>
    <row r="135" spans="1:15" x14ac:dyDescent="0.25">
      <c r="A135" s="10"/>
      <c r="B135" s="1"/>
      <c r="C135" s="11"/>
      <c r="D135" s="82">
        <v>208</v>
      </c>
      <c r="E135" s="11" t="s">
        <v>98</v>
      </c>
      <c r="F135" s="11" t="s">
        <v>255</v>
      </c>
      <c r="G135" s="11"/>
      <c r="H135" s="17"/>
      <c r="I135" s="17"/>
      <c r="J135" s="17"/>
      <c r="K135" s="17"/>
      <c r="L135" s="17"/>
      <c r="M135" s="17"/>
      <c r="N135" s="17"/>
      <c r="O135" s="87"/>
    </row>
    <row r="136" spans="1:15" x14ac:dyDescent="0.25">
      <c r="A136" s="10"/>
      <c r="B136" s="1"/>
      <c r="C136" s="11"/>
      <c r="D136" s="82">
        <v>206</v>
      </c>
      <c r="E136" s="11" t="s">
        <v>98</v>
      </c>
      <c r="F136" s="11" t="s">
        <v>249</v>
      </c>
      <c r="G136" s="11"/>
      <c r="H136" s="17"/>
      <c r="I136" s="17"/>
      <c r="J136" s="17"/>
      <c r="K136" s="17"/>
      <c r="L136" s="17"/>
      <c r="M136" s="17"/>
      <c r="N136" s="17"/>
      <c r="O136" s="87"/>
    </row>
    <row r="137" spans="1:15" x14ac:dyDescent="0.25">
      <c r="A137" s="10"/>
      <c r="B137" s="1"/>
      <c r="C137" s="11"/>
      <c r="D137" s="82">
        <v>207</v>
      </c>
      <c r="E137" s="11" t="s">
        <v>98</v>
      </c>
      <c r="F137" s="11" t="s">
        <v>250</v>
      </c>
      <c r="G137" s="11"/>
      <c r="H137" s="17"/>
      <c r="I137" s="17"/>
      <c r="J137" s="17"/>
      <c r="K137" s="17"/>
      <c r="L137" s="17"/>
      <c r="M137" s="17"/>
      <c r="N137" s="17"/>
      <c r="O137" s="87"/>
    </row>
    <row r="138" spans="1:15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v>23914420</v>
      </c>
      <c r="I138" s="134">
        <v>4350</v>
      </c>
      <c r="J138" s="134">
        <v>60</v>
      </c>
      <c r="K138" s="134">
        <v>21950</v>
      </c>
      <c r="L138" s="134">
        <v>79370</v>
      </c>
      <c r="M138" s="134">
        <v>4880</v>
      </c>
      <c r="N138" s="134">
        <v>2620</v>
      </c>
      <c r="O138" s="134"/>
    </row>
    <row r="139" spans="1:15" x14ac:dyDescent="0.25">
      <c r="A139" s="10"/>
      <c r="B139" s="1"/>
      <c r="C139" s="11"/>
      <c r="D139" s="82">
        <v>401</v>
      </c>
      <c r="E139" s="11" t="s">
        <v>98</v>
      </c>
      <c r="F139" s="11" t="s">
        <v>258</v>
      </c>
      <c r="G139" s="11"/>
      <c r="H139" s="119"/>
      <c r="I139" s="17"/>
      <c r="J139" s="17"/>
      <c r="K139" s="17"/>
      <c r="L139" s="17"/>
      <c r="M139" s="17"/>
      <c r="N139" s="17"/>
      <c r="O139" s="87"/>
    </row>
    <row r="140" spans="1:15" x14ac:dyDescent="0.25">
      <c r="A140" s="10"/>
      <c r="B140" s="1"/>
      <c r="C140" s="11"/>
      <c r="D140" s="82">
        <v>406</v>
      </c>
      <c r="E140" s="11" t="s">
        <v>98</v>
      </c>
      <c r="F140" s="11" t="s">
        <v>256</v>
      </c>
      <c r="G140" s="11"/>
      <c r="H140" s="119"/>
      <c r="I140" s="17"/>
      <c r="J140" s="17"/>
      <c r="K140" s="17"/>
      <c r="L140" s="17"/>
      <c r="M140" s="17"/>
      <c r="N140" s="17"/>
      <c r="O140" s="87"/>
    </row>
    <row r="141" spans="1:15" x14ac:dyDescent="0.25">
      <c r="A141" s="10"/>
      <c r="B141" s="1"/>
      <c r="C141" s="11"/>
      <c r="D141" s="82">
        <v>301</v>
      </c>
      <c r="E141" s="11" t="s">
        <v>98</v>
      </c>
      <c r="F141" s="11" t="s">
        <v>8</v>
      </c>
      <c r="G141" s="11"/>
      <c r="H141" s="17"/>
      <c r="I141" s="17"/>
      <c r="J141" s="17"/>
      <c r="K141" s="17"/>
      <c r="L141" s="17"/>
      <c r="M141" s="17"/>
      <c r="N141" s="17"/>
      <c r="O141" s="87"/>
    </row>
    <row r="142" spans="1:15" x14ac:dyDescent="0.25">
      <c r="A142" s="10"/>
      <c r="B142" s="1"/>
      <c r="C142" s="11"/>
      <c r="D142" s="82">
        <v>208</v>
      </c>
      <c r="E142" s="11" t="s">
        <v>98</v>
      </c>
      <c r="F142" s="11" t="s">
        <v>255</v>
      </c>
      <c r="G142" s="11"/>
      <c r="H142" s="17"/>
      <c r="I142" s="17"/>
      <c r="J142" s="17"/>
      <c r="K142" s="17"/>
      <c r="L142" s="17"/>
      <c r="M142" s="17"/>
      <c r="N142" s="17"/>
      <c r="O142" s="87"/>
    </row>
    <row r="143" spans="1:15" x14ac:dyDescent="0.25">
      <c r="A143" s="10"/>
      <c r="B143" s="1"/>
      <c r="C143" s="11"/>
      <c r="D143" s="82">
        <v>210</v>
      </c>
      <c r="E143" s="11" t="s">
        <v>98</v>
      </c>
      <c r="F143" s="11" t="s">
        <v>252</v>
      </c>
      <c r="G143" s="11"/>
      <c r="H143" s="17"/>
      <c r="I143" s="17"/>
      <c r="J143" s="17"/>
      <c r="K143" s="17"/>
      <c r="L143" s="17"/>
      <c r="M143" s="17"/>
      <c r="N143" s="17"/>
      <c r="O143" s="87"/>
    </row>
    <row r="144" spans="1:15" x14ac:dyDescent="0.25">
      <c r="A144" s="10"/>
      <c r="B144" s="1"/>
      <c r="C144" s="11"/>
      <c r="D144" s="82">
        <v>402</v>
      </c>
      <c r="E144" s="11" t="s">
        <v>98</v>
      </c>
      <c r="F144" s="11" t="s">
        <v>260</v>
      </c>
      <c r="G144" s="11"/>
      <c r="H144" s="119"/>
      <c r="I144" s="17"/>
      <c r="J144" s="17"/>
      <c r="K144" s="17"/>
      <c r="L144" s="17"/>
      <c r="M144" s="17"/>
      <c r="N144" s="17"/>
      <c r="O144" s="87"/>
    </row>
    <row r="145" spans="1:15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v>3909610</v>
      </c>
      <c r="I145" s="134">
        <v>560</v>
      </c>
      <c r="J145" s="134">
        <v>30</v>
      </c>
      <c r="K145" s="134">
        <v>180</v>
      </c>
      <c r="L145" s="134">
        <v>180</v>
      </c>
      <c r="M145" s="134">
        <v>20</v>
      </c>
      <c r="N145" s="134">
        <v>1810</v>
      </c>
      <c r="O145" s="134"/>
    </row>
    <row r="146" spans="1:15" x14ac:dyDescent="0.25">
      <c r="A146" s="11"/>
      <c r="B146" s="11"/>
      <c r="C146" s="11"/>
      <c r="D146" s="82">
        <v>208</v>
      </c>
      <c r="E146" s="11" t="s">
        <v>98</v>
      </c>
      <c r="F146" s="11" t="s">
        <v>255</v>
      </c>
      <c r="G146" s="11"/>
      <c r="H146" s="17"/>
      <c r="I146" s="17"/>
      <c r="J146" s="17"/>
      <c r="K146" s="17"/>
      <c r="L146" s="17"/>
      <c r="M146" s="17"/>
      <c r="N146" s="17"/>
      <c r="O146" s="87"/>
    </row>
    <row r="147" spans="1:15" x14ac:dyDescent="0.25">
      <c r="A147" s="11"/>
      <c r="B147" s="11"/>
      <c r="C147" s="11"/>
      <c r="D147" s="82">
        <v>209</v>
      </c>
      <c r="E147" s="11" t="s">
        <v>98</v>
      </c>
      <c r="F147" t="s">
        <v>268</v>
      </c>
      <c r="G147" s="11"/>
      <c r="H147" s="17"/>
      <c r="I147" s="17"/>
      <c r="J147" s="17"/>
      <c r="K147" s="17"/>
      <c r="L147" s="17"/>
      <c r="M147" s="17"/>
      <c r="N147" s="17"/>
      <c r="O147" s="87"/>
    </row>
    <row r="148" spans="1:15" x14ac:dyDescent="0.25">
      <c r="A148" s="11"/>
      <c r="B148" s="11"/>
      <c r="C148" s="11"/>
      <c r="D148" s="82">
        <v>206</v>
      </c>
      <c r="E148" s="11" t="s">
        <v>98</v>
      </c>
      <c r="F148" s="11" t="s">
        <v>249</v>
      </c>
      <c r="G148" s="11"/>
      <c r="H148" s="17"/>
      <c r="I148" s="17"/>
      <c r="J148" s="17"/>
      <c r="K148" s="17"/>
      <c r="L148" s="17"/>
      <c r="M148" s="17"/>
      <c r="N148" s="17"/>
      <c r="O148" s="87"/>
    </row>
    <row r="149" spans="1:15" x14ac:dyDescent="0.25">
      <c r="A149" s="11"/>
      <c r="B149" s="11"/>
      <c r="C149" s="11"/>
      <c r="D149" s="82">
        <v>207</v>
      </c>
      <c r="E149" s="11" t="s">
        <v>98</v>
      </c>
      <c r="F149" s="11" t="s">
        <v>250</v>
      </c>
      <c r="G149" s="11"/>
      <c r="H149" s="17"/>
      <c r="I149" s="17"/>
      <c r="J149" s="17"/>
      <c r="K149" s="17"/>
      <c r="L149" s="17"/>
      <c r="M149" s="17"/>
      <c r="N149" s="17"/>
      <c r="O149" s="87"/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0">I151+I152</f>
        <v>0</v>
      </c>
      <c r="J150" s="129">
        <f t="shared" si="0"/>
        <v>0</v>
      </c>
      <c r="K150" s="129">
        <f t="shared" si="0"/>
        <v>0</v>
      </c>
      <c r="L150" s="129">
        <f t="shared" si="0"/>
        <v>0</v>
      </c>
      <c r="M150" s="129">
        <f t="shared" si="0"/>
        <v>0</v>
      </c>
      <c r="N150" s="129">
        <f t="shared" si="0"/>
        <v>0</v>
      </c>
      <c r="O150" s="129"/>
    </row>
    <row r="151" spans="1:15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Actividad'!$H147*'FE Sectorial'!$H150*'FE Sectorial'!I150*'FE Sectorial'!P150/1000</f>
        <v>0</v>
      </c>
      <c r="I151" s="134">
        <f>'Datos Actividad'!$H147*'FE Sectorial'!$H150*'FE Sectorial'!J150/1000/1000</f>
        <v>0</v>
      </c>
      <c r="J151" s="134">
        <f>'Datos Actividad'!$H147*'FE Sectorial'!$H150*'FE Sectorial'!K150/1000/1000</f>
        <v>0</v>
      </c>
      <c r="K151" s="134">
        <f>'Datos Actividad'!$H147*'FE Sectorial'!$H150*'FE Sectorial'!L150/1000/1000</f>
        <v>0</v>
      </c>
      <c r="L151" s="134">
        <f>'Datos Actividad'!$H147*'FE Sectorial'!$H150*'FE Sectorial'!M150/1000/1000</f>
        <v>0</v>
      </c>
      <c r="M151" s="134">
        <f>'Datos Actividad'!$H147*'FE Sectorial'!$H150*'FE Sectorial'!N150/1000/1000</f>
        <v>0</v>
      </c>
      <c r="N151" s="134">
        <f>'Datos Actividad'!$H147*'FE Sectorial'!$H150*'FE Sectorial'!O150/1000/1000</f>
        <v>0</v>
      </c>
      <c r="O151" s="134"/>
    </row>
    <row r="152" spans="1:15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Actividad'!$H148*'FE Sectorial'!$H151*'FE Sectorial'!I151*'FE Sectorial'!P151/1000</f>
        <v>0</v>
      </c>
      <c r="I152" s="134">
        <f>'Datos Actividad'!$H148*'FE Sectorial'!$H151*'FE Sectorial'!J151/1000/1000</f>
        <v>0</v>
      </c>
      <c r="J152" s="134">
        <f>'Datos Actividad'!$H148*'FE Sectorial'!$H151*'FE Sectorial'!K151/1000/1000</f>
        <v>0</v>
      </c>
      <c r="K152" s="134">
        <f>'Datos Actividad'!$H148*'FE Sectorial'!$H151*'FE Sectorial'!L151/1000/1000</f>
        <v>0</v>
      </c>
      <c r="L152" s="134">
        <f>'Datos Actividad'!$H148*'FE Sectorial'!$H151*'FE Sectorial'!M151/1000/1000</f>
        <v>0</v>
      </c>
      <c r="M152" s="134">
        <f>'Datos Actividad'!$H148*'FE Sectorial'!$H151*'FE Sectorial'!N151/1000/1000</f>
        <v>0</v>
      </c>
      <c r="N152" s="134">
        <f>'Datos Actividad'!$H148*'FE Sectorial'!$H151*'FE Sectorial'!O151/1000/1000</f>
        <v>0</v>
      </c>
      <c r="O152" s="134"/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v>4553590</v>
      </c>
      <c r="I153" s="124">
        <v>297610</v>
      </c>
      <c r="J153" s="124">
        <v>30</v>
      </c>
      <c r="K153" s="124"/>
      <c r="L153" s="124"/>
      <c r="M153" s="124">
        <v>92760</v>
      </c>
      <c r="N153" s="124"/>
      <c r="O153" s="124"/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v>0</v>
      </c>
      <c r="I154" s="129">
        <v>1600</v>
      </c>
      <c r="J154" s="129">
        <v>0</v>
      </c>
      <c r="K154" s="129">
        <v>0</v>
      </c>
      <c r="L154" s="129">
        <v>0</v>
      </c>
      <c r="M154" s="129">
        <v>0</v>
      </c>
      <c r="N154" s="129">
        <v>0</v>
      </c>
      <c r="O154" s="129"/>
    </row>
    <row r="155" spans="1:15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v>0</v>
      </c>
      <c r="I155" s="134">
        <v>1600</v>
      </c>
      <c r="J155" s="134">
        <v>0</v>
      </c>
      <c r="K155" s="134">
        <v>0</v>
      </c>
      <c r="L155" s="134">
        <v>0</v>
      </c>
      <c r="M155" s="134">
        <v>0</v>
      </c>
      <c r="N155" s="134">
        <v>0</v>
      </c>
      <c r="O155" s="134"/>
    </row>
    <row r="156" spans="1:15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/>
    </row>
    <row r="157" spans="1:15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/>
    </row>
    <row r="158" spans="1:15" x14ac:dyDescent="0.25">
      <c r="A158" s="27"/>
      <c r="B158" s="21"/>
      <c r="C158" s="27"/>
      <c r="D158" s="85"/>
      <c r="E158" s="27" t="s">
        <v>17</v>
      </c>
      <c r="F158" s="27" t="s">
        <v>261</v>
      </c>
      <c r="G158" s="11"/>
      <c r="H158" s="17"/>
      <c r="I158" s="17"/>
      <c r="J158" s="17"/>
      <c r="K158" s="17"/>
      <c r="L158" s="17"/>
      <c r="M158" s="17"/>
      <c r="N158" s="17"/>
      <c r="O158" s="87"/>
    </row>
    <row r="159" spans="1:15" x14ac:dyDescent="0.25">
      <c r="A159" s="27"/>
      <c r="B159" s="21" t="s">
        <v>95</v>
      </c>
      <c r="C159" s="27"/>
      <c r="D159" s="85"/>
      <c r="E159" s="27"/>
      <c r="F159" s="27"/>
      <c r="G159" s="11"/>
      <c r="H159" s="17"/>
      <c r="I159" s="17"/>
      <c r="J159" s="17"/>
      <c r="K159" s="17"/>
      <c r="L159" s="17"/>
      <c r="M159" s="17"/>
      <c r="N159" s="17"/>
      <c r="O159" s="87"/>
    </row>
    <row r="160" spans="1:15" x14ac:dyDescent="0.25">
      <c r="A160" s="27"/>
      <c r="B160" s="21"/>
      <c r="C160" s="27"/>
      <c r="D160" s="85"/>
      <c r="E160" s="27" t="s">
        <v>17</v>
      </c>
      <c r="F160" s="27" t="s">
        <v>261</v>
      </c>
      <c r="G160" s="11"/>
      <c r="H160" s="17"/>
      <c r="I160" s="17"/>
      <c r="J160" s="17"/>
      <c r="K160" s="17"/>
      <c r="L160" s="17"/>
      <c r="M160" s="17"/>
      <c r="N160" s="17"/>
      <c r="O160" s="87"/>
    </row>
    <row r="161" spans="1:15" x14ac:dyDescent="0.25">
      <c r="A161" s="20" t="s">
        <v>96</v>
      </c>
      <c r="B161" s="21" t="s">
        <v>97</v>
      </c>
      <c r="C161" s="27"/>
      <c r="D161" s="85"/>
      <c r="E161" s="27"/>
      <c r="F161" s="27"/>
      <c r="G161" s="11"/>
      <c r="H161" s="17"/>
      <c r="I161" s="17"/>
      <c r="J161" s="17"/>
      <c r="K161" s="17"/>
      <c r="L161" s="17"/>
      <c r="M161" s="17"/>
      <c r="N161" s="17"/>
      <c r="O161" s="87"/>
    </row>
    <row r="162" spans="1:15" x14ac:dyDescent="0.25">
      <c r="A162" s="27"/>
      <c r="B162" s="21" t="s">
        <v>94</v>
      </c>
      <c r="C162" s="27"/>
      <c r="D162" s="85"/>
      <c r="E162" s="27"/>
      <c r="F162" s="27"/>
      <c r="G162" s="11"/>
      <c r="H162" s="17"/>
      <c r="I162" s="17"/>
      <c r="J162" s="17"/>
      <c r="K162" s="17"/>
      <c r="L162" s="17"/>
      <c r="M162" s="17"/>
      <c r="N162" s="17"/>
      <c r="O162" s="87"/>
    </row>
    <row r="163" spans="1:15" x14ac:dyDescent="0.25">
      <c r="A163" s="27"/>
      <c r="B163" s="21"/>
      <c r="C163" s="27"/>
      <c r="D163" s="85"/>
      <c r="E163" s="27" t="s">
        <v>17</v>
      </c>
      <c r="F163" s="27" t="s">
        <v>261</v>
      </c>
      <c r="G163" s="11"/>
      <c r="H163" s="17"/>
      <c r="I163" s="17"/>
      <c r="J163" s="17"/>
      <c r="K163" s="17"/>
      <c r="L163" s="17"/>
      <c r="M163" s="17"/>
      <c r="N163" s="17"/>
      <c r="O163" s="87"/>
    </row>
    <row r="164" spans="1:15" x14ac:dyDescent="0.25">
      <c r="A164" s="27"/>
      <c r="B164" s="21" t="s">
        <v>95</v>
      </c>
      <c r="C164" s="27"/>
      <c r="D164" s="85"/>
      <c r="E164" s="27"/>
      <c r="F164" s="27"/>
      <c r="G164" s="11"/>
      <c r="H164" s="17"/>
      <c r="I164" s="17"/>
      <c r="J164" s="17"/>
      <c r="K164" s="17"/>
      <c r="L164" s="17"/>
      <c r="M164" s="17"/>
      <c r="N164" s="17"/>
      <c r="O164" s="87"/>
    </row>
    <row r="165" spans="1:15" x14ac:dyDescent="0.25">
      <c r="A165" s="27"/>
      <c r="B165" s="21"/>
      <c r="C165" s="27"/>
      <c r="D165" s="85"/>
      <c r="E165" s="27" t="s">
        <v>17</v>
      </c>
      <c r="F165" s="27" t="s">
        <v>261</v>
      </c>
      <c r="G165" s="11"/>
      <c r="H165" s="17"/>
      <c r="I165" s="17"/>
      <c r="J165" s="17"/>
      <c r="K165" s="17"/>
      <c r="L165" s="17"/>
      <c r="M165" s="17"/>
      <c r="N165" s="17"/>
      <c r="O165" s="87"/>
    </row>
    <row r="166" spans="1:15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v>4553590</v>
      </c>
      <c r="I168" s="129">
        <v>296000</v>
      </c>
      <c r="J168" s="129">
        <v>30</v>
      </c>
      <c r="K168" s="129"/>
      <c r="L168" s="129"/>
      <c r="M168" s="129">
        <v>92760</v>
      </c>
      <c r="N168" s="129"/>
      <c r="O168" s="129"/>
    </row>
    <row r="169" spans="1:15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v>1416490</v>
      </c>
      <c r="I169" s="134">
        <v>34720</v>
      </c>
      <c r="J169" s="134">
        <v>20</v>
      </c>
      <c r="K169" s="134"/>
      <c r="L169" s="134"/>
      <c r="M169" s="134">
        <v>65160</v>
      </c>
      <c r="N169" s="134"/>
      <c r="O169" s="134"/>
    </row>
    <row r="170" spans="1:15" x14ac:dyDescent="0.25">
      <c r="A170" s="20" t="s">
        <v>118</v>
      </c>
      <c r="B170" s="21" t="s">
        <v>124</v>
      </c>
      <c r="C170" s="27"/>
      <c r="D170" s="85"/>
      <c r="E170" s="27"/>
      <c r="F170" s="27"/>
      <c r="G170" s="27"/>
      <c r="H170" s="34"/>
      <c r="I170" s="34"/>
      <c r="J170" s="34"/>
      <c r="K170" s="34"/>
      <c r="L170" s="34"/>
      <c r="M170" s="34"/>
      <c r="N170" s="34"/>
      <c r="O170" s="17"/>
    </row>
    <row r="171" spans="1:15" x14ac:dyDescent="0.25">
      <c r="A171" s="20"/>
      <c r="B171" s="21"/>
      <c r="C171" s="27"/>
      <c r="D171" s="85"/>
      <c r="E171" s="27" t="s">
        <v>157</v>
      </c>
      <c r="F171" s="27"/>
      <c r="G171" s="27"/>
      <c r="H171" s="92"/>
      <c r="I171" s="92"/>
      <c r="J171" s="92"/>
      <c r="K171" s="92"/>
      <c r="L171" s="92"/>
      <c r="M171" s="92"/>
      <c r="N171" s="92"/>
      <c r="O171" s="87"/>
    </row>
    <row r="172" spans="1:15" x14ac:dyDescent="0.25">
      <c r="A172" s="20"/>
      <c r="B172" s="21"/>
      <c r="C172" s="27"/>
      <c r="D172" s="85"/>
      <c r="E172" s="27" t="s">
        <v>158</v>
      </c>
      <c r="F172" s="27"/>
      <c r="G172" s="27"/>
      <c r="H172" s="92"/>
      <c r="I172" s="92"/>
      <c r="J172" s="92"/>
      <c r="K172" s="92"/>
      <c r="L172" s="92"/>
      <c r="M172" s="92"/>
      <c r="N172" s="92"/>
      <c r="O172" s="87"/>
    </row>
    <row r="173" spans="1:15" x14ac:dyDescent="0.25">
      <c r="A173" s="20"/>
      <c r="B173" s="21"/>
      <c r="C173" s="27"/>
      <c r="D173" s="85"/>
      <c r="E173" s="27" t="s">
        <v>159</v>
      </c>
      <c r="F173" s="27"/>
      <c r="G173" s="27"/>
      <c r="H173" s="92"/>
      <c r="I173" s="92"/>
      <c r="J173" s="92"/>
      <c r="K173" s="92"/>
      <c r="L173" s="92"/>
      <c r="M173" s="92"/>
      <c r="N173" s="92"/>
      <c r="O173" s="87"/>
    </row>
    <row r="174" spans="1:15" x14ac:dyDescent="0.25">
      <c r="A174" s="20" t="s">
        <v>119</v>
      </c>
      <c r="B174" s="21" t="s">
        <v>125</v>
      </c>
      <c r="C174" s="27"/>
      <c r="D174" s="85"/>
      <c r="E174" s="27"/>
      <c r="F174" s="27"/>
      <c r="G174" s="27"/>
      <c r="H174" s="34"/>
      <c r="I174" s="34"/>
      <c r="J174" s="34"/>
      <c r="K174" s="34"/>
      <c r="L174" s="34"/>
      <c r="M174" s="34"/>
      <c r="N174" s="34"/>
      <c r="O174" s="87"/>
    </row>
    <row r="175" spans="1:15" x14ac:dyDescent="0.25">
      <c r="A175" s="20"/>
      <c r="B175" s="21"/>
      <c r="C175" s="27"/>
      <c r="D175" s="85"/>
      <c r="E175" s="27" t="s">
        <v>17</v>
      </c>
      <c r="F175" s="27" t="s">
        <v>127</v>
      </c>
      <c r="G175" s="27"/>
      <c r="H175" s="92"/>
      <c r="I175" s="92"/>
      <c r="J175" s="92"/>
      <c r="K175" s="92"/>
      <c r="L175" s="92"/>
      <c r="M175" s="92"/>
      <c r="N175" s="92"/>
      <c r="O175" s="87"/>
    </row>
    <row r="176" spans="1:15" x14ac:dyDescent="0.25">
      <c r="A176" s="20" t="s">
        <v>120</v>
      </c>
      <c r="B176" s="21" t="s">
        <v>18</v>
      </c>
      <c r="C176" s="27"/>
      <c r="D176" s="85"/>
      <c r="E176" s="27"/>
      <c r="F176" s="27"/>
      <c r="G176" s="27"/>
      <c r="H176" s="92"/>
      <c r="I176" s="92"/>
      <c r="J176" s="92"/>
      <c r="K176" s="92"/>
      <c r="L176" s="92"/>
      <c r="M176" s="92"/>
      <c r="N176" s="92"/>
      <c r="O176" s="87"/>
    </row>
    <row r="177" spans="1:15" x14ac:dyDescent="0.25">
      <c r="A177" s="20"/>
      <c r="B177" s="21"/>
      <c r="C177" s="27"/>
      <c r="D177" s="85"/>
      <c r="E177" s="27" t="s">
        <v>144</v>
      </c>
      <c r="F177" s="27" t="s">
        <v>127</v>
      </c>
      <c r="G177" s="27"/>
      <c r="H177" s="92"/>
      <c r="I177" s="92"/>
      <c r="J177" s="92"/>
      <c r="K177" s="92"/>
      <c r="L177" s="92"/>
      <c r="M177" s="92"/>
      <c r="N177" s="92"/>
      <c r="O177" s="87"/>
    </row>
    <row r="178" spans="1:15" x14ac:dyDescent="0.25">
      <c r="A178" s="20"/>
      <c r="B178" s="21"/>
      <c r="C178" s="27"/>
      <c r="D178" s="85"/>
      <c r="E178" s="27" t="s">
        <v>145</v>
      </c>
      <c r="F178" s="27" t="s">
        <v>127</v>
      </c>
      <c r="G178" s="27"/>
      <c r="H178" s="92"/>
      <c r="I178" s="92"/>
      <c r="J178" s="92"/>
      <c r="K178" s="92"/>
      <c r="L178" s="92"/>
      <c r="M178" s="92"/>
      <c r="N178" s="92"/>
      <c r="O178" s="87"/>
    </row>
    <row r="179" spans="1:15" x14ac:dyDescent="0.25">
      <c r="A179" s="20" t="s">
        <v>121</v>
      </c>
      <c r="B179" s="21" t="s">
        <v>161</v>
      </c>
      <c r="C179" s="27"/>
      <c r="D179" s="85"/>
      <c r="E179" s="27"/>
      <c r="F179" s="27"/>
      <c r="G179" s="27"/>
      <c r="H179" s="92"/>
      <c r="I179" s="92"/>
      <c r="J179" s="92"/>
      <c r="K179" s="92"/>
      <c r="L179" s="92"/>
      <c r="M179" s="92"/>
      <c r="N179" s="92"/>
      <c r="O179" s="87"/>
    </row>
    <row r="180" spans="1:15" x14ac:dyDescent="0.25">
      <c r="A180" s="20"/>
      <c r="B180" s="21" t="s">
        <v>154</v>
      </c>
      <c r="C180" s="27"/>
      <c r="D180" s="85"/>
      <c r="E180" s="27"/>
      <c r="F180" s="27"/>
      <c r="G180" s="27"/>
      <c r="H180" s="92"/>
      <c r="I180" s="92"/>
      <c r="J180" s="92"/>
      <c r="K180" s="92"/>
      <c r="L180" s="92"/>
      <c r="M180" s="92"/>
      <c r="N180" s="92"/>
      <c r="O180" s="87"/>
    </row>
    <row r="181" spans="1:15" x14ac:dyDescent="0.25">
      <c r="A181" s="20"/>
      <c r="B181" s="21"/>
      <c r="C181" s="27"/>
      <c r="D181" s="85"/>
      <c r="E181" s="27" t="s">
        <v>128</v>
      </c>
      <c r="F181" s="27" t="s">
        <v>127</v>
      </c>
      <c r="G181" s="27"/>
      <c r="H181" s="92"/>
      <c r="I181" s="92"/>
      <c r="J181" s="92"/>
      <c r="K181" s="92"/>
      <c r="L181" s="92"/>
      <c r="M181" s="92"/>
      <c r="N181" s="92"/>
      <c r="O181" s="87"/>
    </row>
    <row r="182" spans="1:15" x14ac:dyDescent="0.25">
      <c r="A182" s="20"/>
      <c r="B182" s="21" t="s">
        <v>160</v>
      </c>
      <c r="C182" s="27"/>
      <c r="D182" s="85"/>
      <c r="E182" s="27"/>
      <c r="F182" s="27"/>
      <c r="G182" s="27"/>
      <c r="H182" s="92"/>
      <c r="I182" s="92"/>
      <c r="J182" s="92"/>
      <c r="K182" s="92"/>
      <c r="L182" s="92"/>
      <c r="M182" s="92"/>
      <c r="N182" s="92"/>
      <c r="O182" s="87"/>
    </row>
    <row r="183" spans="1:15" x14ac:dyDescent="0.25">
      <c r="A183" s="20"/>
      <c r="B183" s="21"/>
      <c r="C183" s="27"/>
      <c r="D183" s="85"/>
      <c r="E183" s="27" t="s">
        <v>128</v>
      </c>
      <c r="F183" s="27" t="s">
        <v>127</v>
      </c>
      <c r="G183" s="27"/>
      <c r="H183" s="92"/>
      <c r="I183" s="92"/>
      <c r="J183" s="92"/>
      <c r="K183" s="92"/>
      <c r="L183" s="92"/>
      <c r="M183" s="92"/>
      <c r="N183" s="92"/>
      <c r="O183" s="87"/>
    </row>
    <row r="184" spans="1:15" x14ac:dyDescent="0.25">
      <c r="A184" s="20" t="s">
        <v>122</v>
      </c>
      <c r="B184" s="21" t="s">
        <v>126</v>
      </c>
      <c r="C184" s="27"/>
      <c r="D184" s="85"/>
      <c r="E184" s="27"/>
      <c r="F184" s="27"/>
      <c r="G184" s="27"/>
      <c r="H184" s="92"/>
      <c r="I184" s="92"/>
      <c r="J184" s="92"/>
      <c r="K184" s="92"/>
      <c r="L184" s="92"/>
      <c r="M184" s="92"/>
      <c r="N184" s="92"/>
      <c r="O184" s="87"/>
    </row>
    <row r="185" spans="1:15" x14ac:dyDescent="0.25">
      <c r="A185" s="20"/>
      <c r="B185" s="21"/>
      <c r="C185" s="27"/>
      <c r="D185" s="85"/>
      <c r="E185" s="27" t="s">
        <v>98</v>
      </c>
      <c r="F185" t="s">
        <v>270</v>
      </c>
      <c r="G185" s="27"/>
      <c r="H185" s="92"/>
      <c r="I185" s="92"/>
      <c r="J185" s="92"/>
      <c r="K185" s="92"/>
      <c r="L185" s="92"/>
      <c r="M185" s="92"/>
      <c r="N185" s="92"/>
      <c r="O185" s="87"/>
    </row>
    <row r="186" spans="1:15" x14ac:dyDescent="0.25">
      <c r="A186" s="20"/>
      <c r="B186" s="21"/>
      <c r="C186" s="27"/>
      <c r="D186" s="85"/>
      <c r="E186" s="27" t="s">
        <v>98</v>
      </c>
      <c r="F186" s="11" t="s">
        <v>162</v>
      </c>
      <c r="G186" s="27"/>
      <c r="H186" s="92"/>
      <c r="I186" s="92"/>
      <c r="J186" s="92"/>
      <c r="K186" s="92"/>
      <c r="L186" s="92"/>
      <c r="M186" s="92"/>
      <c r="N186" s="92"/>
      <c r="O186" s="87"/>
    </row>
    <row r="187" spans="1:15" x14ac:dyDescent="0.25">
      <c r="A187" s="20" t="s">
        <v>123</v>
      </c>
      <c r="B187" s="21" t="s">
        <v>73</v>
      </c>
      <c r="C187" s="27"/>
      <c r="D187" s="85"/>
      <c r="E187" s="27"/>
      <c r="F187" s="27"/>
      <c r="G187" s="27"/>
      <c r="H187" s="92"/>
      <c r="I187" s="92"/>
      <c r="J187" s="92"/>
      <c r="K187" s="92"/>
      <c r="L187" s="92"/>
      <c r="M187" s="92"/>
      <c r="N187" s="92"/>
      <c r="O187" s="87"/>
    </row>
    <row r="188" spans="1:15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v>3137100</v>
      </c>
      <c r="I188" s="134">
        <v>261280</v>
      </c>
      <c r="J188" s="134">
        <v>0</v>
      </c>
      <c r="K188" s="134"/>
      <c r="L188" s="134"/>
      <c r="M188" s="134">
        <v>27600</v>
      </c>
      <c r="N188" s="134"/>
      <c r="O188" s="134"/>
    </row>
    <row r="189" spans="1:15" x14ac:dyDescent="0.25">
      <c r="A189" s="20" t="s">
        <v>130</v>
      </c>
      <c r="B189" s="28" t="s">
        <v>133</v>
      </c>
      <c r="C189" s="21"/>
      <c r="D189" s="85"/>
      <c r="E189" s="21"/>
      <c r="F189" s="27"/>
      <c r="G189" s="27"/>
      <c r="H189" s="34"/>
      <c r="I189" s="34"/>
      <c r="J189" s="34"/>
      <c r="K189" s="34"/>
      <c r="L189" s="34"/>
      <c r="M189" s="34"/>
      <c r="N189" s="34"/>
      <c r="O189" s="17"/>
    </row>
    <row r="190" spans="1:15" x14ac:dyDescent="0.25">
      <c r="A190" s="20"/>
      <c r="B190" s="21" t="s">
        <v>17</v>
      </c>
      <c r="C190" s="27"/>
      <c r="D190" s="85"/>
      <c r="E190" s="21"/>
      <c r="F190" s="27"/>
      <c r="G190" s="27"/>
      <c r="H190" s="34"/>
      <c r="I190" s="34"/>
      <c r="J190" s="34"/>
      <c r="K190" s="34"/>
      <c r="L190" s="34"/>
      <c r="M190" s="34"/>
      <c r="N190" s="34"/>
      <c r="O190" s="17"/>
    </row>
    <row r="191" spans="1:15" x14ac:dyDescent="0.25">
      <c r="A191" s="20"/>
      <c r="B191" s="21"/>
      <c r="C191" s="27"/>
      <c r="D191" s="85"/>
      <c r="E191" s="27" t="s">
        <v>17</v>
      </c>
      <c r="F191" s="11" t="s">
        <v>8</v>
      </c>
      <c r="G191" s="27"/>
      <c r="H191" s="92"/>
      <c r="I191" s="92"/>
      <c r="J191" s="92"/>
      <c r="K191" s="92"/>
      <c r="L191" s="92"/>
      <c r="M191" s="92"/>
      <c r="N191" s="92"/>
      <c r="O191" s="87"/>
    </row>
    <row r="192" spans="1:15" x14ac:dyDescent="0.25">
      <c r="A192" s="20"/>
      <c r="B192" s="21" t="s">
        <v>155</v>
      </c>
      <c r="C192" s="27"/>
      <c r="D192" s="85"/>
      <c r="E192" s="27"/>
      <c r="F192" s="27"/>
      <c r="G192" s="27"/>
      <c r="H192" s="35"/>
      <c r="I192" s="35"/>
      <c r="J192" s="35"/>
      <c r="K192" s="35"/>
      <c r="L192" s="35"/>
      <c r="M192" s="35"/>
      <c r="N192" s="35"/>
      <c r="O192" s="17"/>
    </row>
    <row r="193" spans="1:15" x14ac:dyDescent="0.25">
      <c r="A193" s="20"/>
      <c r="B193" s="21"/>
      <c r="C193" s="27"/>
      <c r="D193" s="85"/>
      <c r="E193" s="27" t="s">
        <v>17</v>
      </c>
      <c r="F193" s="11" t="s">
        <v>8</v>
      </c>
      <c r="G193" s="27"/>
      <c r="H193" s="92"/>
      <c r="I193" s="92"/>
      <c r="J193" s="92"/>
      <c r="K193" s="92"/>
      <c r="L193" s="92"/>
      <c r="M193" s="92"/>
      <c r="N193" s="92"/>
      <c r="O193" s="87"/>
    </row>
    <row r="194" spans="1:15" x14ac:dyDescent="0.25">
      <c r="A194" s="20" t="s">
        <v>131</v>
      </c>
      <c r="B194" s="28" t="s">
        <v>134</v>
      </c>
      <c r="C194" s="27"/>
      <c r="D194" s="85"/>
      <c r="E194" s="27"/>
      <c r="F194" s="27"/>
      <c r="G194" s="27"/>
      <c r="H194" s="34"/>
      <c r="I194" s="34"/>
      <c r="J194" s="34"/>
      <c r="K194" s="34"/>
      <c r="L194" s="34"/>
      <c r="M194" s="34"/>
      <c r="N194" s="34"/>
      <c r="O194" s="17"/>
    </row>
    <row r="195" spans="1:15" x14ac:dyDescent="0.25">
      <c r="A195" s="20"/>
      <c r="B195" s="21" t="s">
        <v>163</v>
      </c>
      <c r="C195" s="27"/>
      <c r="D195" s="85"/>
      <c r="E195" s="27"/>
      <c r="F195" s="27"/>
      <c r="G195" s="27"/>
      <c r="H195" s="34"/>
      <c r="I195" s="34"/>
      <c r="J195" s="34"/>
      <c r="K195" s="34"/>
      <c r="L195" s="34"/>
      <c r="M195" s="34"/>
      <c r="N195" s="34"/>
      <c r="O195" s="17"/>
    </row>
    <row r="196" spans="1:15" x14ac:dyDescent="0.25">
      <c r="A196" s="20"/>
      <c r="B196" s="21"/>
      <c r="C196" s="27"/>
      <c r="D196" s="85"/>
      <c r="E196" s="27" t="s">
        <v>164</v>
      </c>
      <c r="F196" s="11" t="s">
        <v>8</v>
      </c>
      <c r="G196" s="27"/>
      <c r="H196" s="92"/>
      <c r="I196" s="92"/>
      <c r="J196" s="92"/>
      <c r="K196" s="92"/>
      <c r="L196" s="92"/>
      <c r="M196" s="92"/>
      <c r="N196" s="92"/>
      <c r="O196" s="87"/>
    </row>
    <row r="197" spans="1:15" x14ac:dyDescent="0.25">
      <c r="A197" s="20"/>
      <c r="B197" s="21" t="s">
        <v>156</v>
      </c>
      <c r="C197" s="27"/>
      <c r="D197" s="85"/>
      <c r="E197" s="27"/>
      <c r="F197" s="11"/>
      <c r="G197" s="27"/>
      <c r="H197" s="35"/>
      <c r="I197" s="35"/>
      <c r="J197" s="35"/>
      <c r="K197" s="35"/>
      <c r="L197" s="35"/>
      <c r="M197" s="35"/>
      <c r="N197" s="35"/>
      <c r="O197" s="17"/>
    </row>
    <row r="198" spans="1:15" x14ac:dyDescent="0.25">
      <c r="A198" s="20"/>
      <c r="B198" s="21"/>
      <c r="C198" s="27"/>
      <c r="D198" s="85"/>
      <c r="E198" s="27" t="s">
        <v>165</v>
      </c>
      <c r="F198" s="11" t="s">
        <v>8</v>
      </c>
      <c r="G198" s="27"/>
      <c r="H198" s="92"/>
      <c r="I198" s="92"/>
      <c r="J198" s="92"/>
      <c r="K198" s="92"/>
      <c r="L198" s="92"/>
      <c r="M198" s="92"/>
      <c r="N198" s="92"/>
      <c r="O198" s="87"/>
    </row>
    <row r="199" spans="1:15" x14ac:dyDescent="0.25">
      <c r="A199" s="20" t="s">
        <v>132</v>
      </c>
      <c r="B199" s="28" t="s">
        <v>135</v>
      </c>
      <c r="C199" s="11"/>
      <c r="D199" s="82"/>
      <c r="E199" s="11"/>
      <c r="F199" s="11"/>
      <c r="G199" s="11"/>
      <c r="H199" s="24"/>
      <c r="I199" s="24"/>
      <c r="J199" s="24"/>
      <c r="K199" s="24"/>
      <c r="L199" s="24"/>
      <c r="M199" s="24"/>
      <c r="N199" s="24"/>
      <c r="O199" s="96"/>
    </row>
    <row r="200" spans="1:15" x14ac:dyDescent="0.25">
      <c r="A200" s="11"/>
      <c r="B200" s="1" t="s">
        <v>111</v>
      </c>
      <c r="C200" s="11"/>
      <c r="D200" s="82"/>
      <c r="E200" s="11"/>
      <c r="F200" s="11"/>
      <c r="G200" s="11"/>
      <c r="H200" s="24"/>
      <c r="I200" s="24"/>
      <c r="J200" s="24"/>
      <c r="K200" s="24"/>
      <c r="L200" s="24"/>
      <c r="M200" s="24"/>
      <c r="N200" s="24"/>
      <c r="O200" s="96"/>
    </row>
    <row r="201" spans="1:15" x14ac:dyDescent="0.25">
      <c r="A201" s="20"/>
      <c r="B201" s="11"/>
      <c r="C201" s="11"/>
      <c r="D201" s="82"/>
      <c r="E201" s="27" t="s">
        <v>98</v>
      </c>
      <c r="F201" s="11" t="s">
        <v>8</v>
      </c>
      <c r="G201" s="11"/>
      <c r="H201" s="92"/>
      <c r="I201" s="92"/>
      <c r="J201" s="92"/>
      <c r="K201" s="92"/>
      <c r="L201" s="92"/>
      <c r="M201" s="92"/>
      <c r="N201" s="92"/>
      <c r="O201" s="87"/>
    </row>
    <row r="202" spans="1:15" x14ac:dyDescent="0.25">
      <c r="A202" s="20"/>
      <c r="B202" s="1" t="s">
        <v>143</v>
      </c>
      <c r="C202" s="11"/>
      <c r="D202" s="82"/>
      <c r="E202" s="11"/>
      <c r="F202" s="11"/>
      <c r="G202" s="11"/>
      <c r="H202" s="24"/>
      <c r="I202" s="24"/>
      <c r="J202" s="24"/>
      <c r="K202" s="24"/>
      <c r="L202" s="24"/>
      <c r="M202" s="24"/>
      <c r="N202" s="24"/>
      <c r="O202" s="96"/>
    </row>
    <row r="203" spans="1:15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/>
      <c r="I203" s="92"/>
      <c r="J203" s="92"/>
      <c r="K203" s="92"/>
      <c r="L203" s="92"/>
      <c r="M203" s="92"/>
      <c r="N203" s="92"/>
      <c r="O203" s="87"/>
    </row>
    <row r="204" spans="1:15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/>
      <c r="I204" s="134"/>
      <c r="J204" s="134"/>
      <c r="K204" s="134"/>
      <c r="L204" s="134"/>
      <c r="M204" s="134"/>
      <c r="N204" s="134"/>
      <c r="O204" s="134"/>
    </row>
    <row r="205" spans="1:15" x14ac:dyDescent="0.25">
      <c r="A205" s="20" t="s">
        <v>137</v>
      </c>
      <c r="B205" s="28" t="s">
        <v>116</v>
      </c>
      <c r="C205" s="11"/>
      <c r="D205" s="82"/>
      <c r="E205" s="11"/>
      <c r="F205" s="11"/>
      <c r="G205" s="11"/>
      <c r="H205" s="24"/>
      <c r="I205" s="24"/>
      <c r="J205" s="24"/>
      <c r="K205" s="24"/>
      <c r="L205" s="24"/>
      <c r="M205" s="24"/>
      <c r="N205" s="24"/>
      <c r="O205" s="96"/>
    </row>
    <row r="206" spans="1:15" x14ac:dyDescent="0.25">
      <c r="A206" s="20"/>
      <c r="B206" s="28" t="s">
        <v>112</v>
      </c>
      <c r="C206" s="11"/>
      <c r="D206" s="82"/>
      <c r="E206" s="11"/>
      <c r="F206" s="11"/>
      <c r="G206" s="11"/>
      <c r="H206" s="24"/>
      <c r="I206" s="24"/>
      <c r="J206" s="24"/>
      <c r="K206" s="24"/>
      <c r="L206" s="24"/>
      <c r="M206" s="24"/>
      <c r="N206" s="24"/>
      <c r="O206" s="96"/>
    </row>
    <row r="207" spans="1:15" x14ac:dyDescent="0.25">
      <c r="A207" s="20"/>
      <c r="B207" s="11"/>
      <c r="C207" s="11"/>
      <c r="D207" s="82"/>
      <c r="E207" s="27" t="s">
        <v>17</v>
      </c>
      <c r="F207" s="27" t="s">
        <v>127</v>
      </c>
      <c r="G207" s="11"/>
      <c r="H207" s="92"/>
      <c r="I207" s="92"/>
      <c r="J207" s="92"/>
      <c r="K207" s="92"/>
      <c r="L207" s="92"/>
      <c r="M207" s="92"/>
      <c r="N207" s="92"/>
      <c r="O207" s="87"/>
    </row>
    <row r="208" spans="1:15" x14ac:dyDescent="0.25">
      <c r="A208" s="20"/>
      <c r="B208" s="28" t="s">
        <v>113</v>
      </c>
      <c r="C208" s="11"/>
      <c r="D208" s="82"/>
      <c r="E208" s="11"/>
      <c r="F208" s="11"/>
      <c r="G208" s="11"/>
      <c r="H208" s="24"/>
      <c r="I208" s="24"/>
      <c r="J208" s="24"/>
      <c r="K208" s="24"/>
      <c r="L208" s="24"/>
      <c r="M208" s="24"/>
      <c r="N208" s="24"/>
      <c r="O208" s="96"/>
    </row>
    <row r="209" spans="1:15" x14ac:dyDescent="0.25">
      <c r="A209" s="20"/>
      <c r="B209" s="11"/>
      <c r="C209" s="11"/>
      <c r="D209" s="82"/>
      <c r="E209" s="27" t="s">
        <v>17</v>
      </c>
      <c r="F209" s="27" t="s">
        <v>127</v>
      </c>
      <c r="G209" s="11"/>
      <c r="H209" s="92"/>
      <c r="I209" s="92"/>
      <c r="J209" s="92"/>
      <c r="K209" s="92"/>
      <c r="L209" s="92"/>
      <c r="M209" s="92"/>
      <c r="N209" s="92"/>
      <c r="O209" s="87"/>
    </row>
    <row r="210" spans="1:15" x14ac:dyDescent="0.25">
      <c r="A210" s="20" t="s">
        <v>139</v>
      </c>
      <c r="B210" s="28" t="s">
        <v>141</v>
      </c>
      <c r="C210" s="11"/>
      <c r="D210" s="82"/>
      <c r="E210" s="11"/>
      <c r="F210" s="11"/>
      <c r="G210" s="11"/>
      <c r="H210" s="24"/>
      <c r="I210" s="24"/>
      <c r="J210" s="24"/>
      <c r="K210" s="24"/>
      <c r="L210" s="24"/>
      <c r="M210" s="24"/>
      <c r="N210" s="24"/>
      <c r="O210" s="96"/>
    </row>
    <row r="211" spans="1:15" x14ac:dyDescent="0.25">
      <c r="A211" s="20"/>
      <c r="B211" s="28" t="s">
        <v>112</v>
      </c>
      <c r="C211" s="11"/>
      <c r="D211" s="82"/>
      <c r="E211" s="11"/>
      <c r="F211" s="11"/>
      <c r="G211" s="11"/>
      <c r="H211" s="24"/>
      <c r="I211" s="24"/>
      <c r="J211" s="24"/>
      <c r="K211" s="24"/>
      <c r="L211" s="24"/>
      <c r="M211" s="24"/>
      <c r="N211" s="24"/>
      <c r="O211" s="96"/>
    </row>
    <row r="212" spans="1:15" x14ac:dyDescent="0.25">
      <c r="A212" s="20"/>
      <c r="B212" s="28"/>
      <c r="C212" s="1" t="s">
        <v>155</v>
      </c>
      <c r="D212" s="82"/>
      <c r="E212" s="1"/>
      <c r="F212" s="11"/>
      <c r="G212" s="11"/>
      <c r="H212" s="24"/>
      <c r="I212" s="24"/>
      <c r="J212" s="24"/>
      <c r="K212" s="24"/>
      <c r="L212" s="24"/>
      <c r="M212" s="24"/>
      <c r="N212" s="24"/>
      <c r="O212" s="96"/>
    </row>
    <row r="213" spans="1:15" x14ac:dyDescent="0.25">
      <c r="A213" s="20"/>
      <c r="B213" s="28"/>
      <c r="C213" s="11"/>
      <c r="D213" s="82"/>
      <c r="E213" s="27" t="s">
        <v>17</v>
      </c>
      <c r="F213" s="11" t="s">
        <v>8</v>
      </c>
      <c r="G213" s="11"/>
      <c r="H213" s="92"/>
      <c r="I213" s="92"/>
      <c r="J213" s="92"/>
      <c r="K213" s="92"/>
      <c r="L213" s="92"/>
      <c r="M213" s="92"/>
      <c r="N213" s="92"/>
      <c r="O213" s="87"/>
    </row>
    <row r="214" spans="1:15" x14ac:dyDescent="0.25">
      <c r="A214" s="20"/>
      <c r="B214" s="28"/>
      <c r="C214" s="1" t="s">
        <v>163</v>
      </c>
      <c r="D214" s="82"/>
      <c r="E214" s="11"/>
      <c r="F214" s="11"/>
      <c r="G214" s="11"/>
      <c r="H214" s="24"/>
      <c r="I214" s="24"/>
      <c r="J214" s="24"/>
      <c r="K214" s="24"/>
      <c r="L214" s="24"/>
      <c r="M214" s="24"/>
      <c r="N214" s="24"/>
      <c r="O214" s="96"/>
    </row>
    <row r="215" spans="1:15" x14ac:dyDescent="0.25">
      <c r="A215" s="20"/>
      <c r="B215" s="28"/>
      <c r="C215" s="11"/>
      <c r="D215" s="82"/>
      <c r="E215" s="27" t="s">
        <v>164</v>
      </c>
      <c r="F215" s="11" t="s">
        <v>8</v>
      </c>
      <c r="G215" s="11"/>
      <c r="H215" s="92"/>
      <c r="I215" s="92"/>
      <c r="J215" s="92"/>
      <c r="K215" s="92"/>
      <c r="L215" s="92"/>
      <c r="M215" s="92"/>
      <c r="N215" s="92"/>
      <c r="O215" s="87"/>
    </row>
    <row r="216" spans="1:15" x14ac:dyDescent="0.25">
      <c r="A216" s="20"/>
      <c r="B216" s="28" t="s">
        <v>113</v>
      </c>
      <c r="C216" s="11"/>
      <c r="D216" s="82"/>
      <c r="E216" s="11"/>
      <c r="F216" s="11"/>
      <c r="G216" s="11"/>
      <c r="H216" s="24"/>
      <c r="I216" s="24"/>
      <c r="J216" s="24"/>
      <c r="K216" s="24"/>
      <c r="L216" s="24"/>
      <c r="M216" s="24"/>
      <c r="N216" s="24"/>
      <c r="O216" s="96"/>
    </row>
    <row r="217" spans="1:15" x14ac:dyDescent="0.25">
      <c r="A217" s="20"/>
      <c r="B217" s="28"/>
      <c r="C217" s="1" t="s">
        <v>17</v>
      </c>
      <c r="D217" s="82"/>
      <c r="E217" s="11"/>
      <c r="F217" s="11"/>
      <c r="G217" s="11"/>
      <c r="H217" s="24"/>
      <c r="I217" s="24"/>
      <c r="J217" s="24"/>
      <c r="K217" s="24"/>
      <c r="L217" s="24"/>
      <c r="M217" s="24"/>
      <c r="N217" s="24"/>
      <c r="O217" s="96"/>
    </row>
    <row r="218" spans="1:15" x14ac:dyDescent="0.25">
      <c r="A218" s="20"/>
      <c r="B218" s="28"/>
      <c r="C218" s="11"/>
      <c r="D218" s="82"/>
      <c r="E218" s="27" t="s">
        <v>17</v>
      </c>
      <c r="F218" s="11" t="s">
        <v>8</v>
      </c>
      <c r="G218" s="11"/>
      <c r="H218" s="92"/>
      <c r="I218" s="92"/>
      <c r="J218" s="92"/>
      <c r="K218" s="92"/>
      <c r="L218" s="92"/>
      <c r="M218" s="92"/>
      <c r="N218" s="92"/>
      <c r="O218" s="87"/>
    </row>
    <row r="219" spans="1:15" x14ac:dyDescent="0.25">
      <c r="A219" s="20"/>
      <c r="B219" s="28"/>
      <c r="C219" s="1" t="s">
        <v>155</v>
      </c>
      <c r="D219" s="82"/>
      <c r="E219" s="11"/>
      <c r="F219" s="11"/>
      <c r="G219" s="11"/>
      <c r="H219" s="24"/>
      <c r="I219" s="24"/>
      <c r="J219" s="24"/>
      <c r="K219" s="24"/>
      <c r="L219" s="24"/>
      <c r="M219" s="24"/>
      <c r="N219" s="24"/>
      <c r="O219" s="96"/>
    </row>
    <row r="220" spans="1:15" x14ac:dyDescent="0.25">
      <c r="A220" s="20"/>
      <c r="B220" s="11"/>
      <c r="C220" s="11"/>
      <c r="D220" s="82"/>
      <c r="E220" s="27" t="s">
        <v>17</v>
      </c>
      <c r="F220" s="11" t="s">
        <v>8</v>
      </c>
      <c r="G220" s="11"/>
      <c r="H220" s="92"/>
      <c r="I220" s="92"/>
      <c r="J220" s="92"/>
      <c r="K220" s="92"/>
      <c r="L220" s="92"/>
      <c r="M220" s="92"/>
      <c r="N220" s="92"/>
      <c r="O220" s="87"/>
    </row>
    <row r="221" spans="1:15" x14ac:dyDescent="0.25">
      <c r="A221" s="20" t="s">
        <v>140</v>
      </c>
      <c r="B221" s="28" t="s">
        <v>142</v>
      </c>
      <c r="C221" s="11"/>
      <c r="D221" s="82"/>
      <c r="E221" s="11"/>
      <c r="F221" s="11"/>
      <c r="G221" s="11"/>
      <c r="H221" s="24"/>
      <c r="I221" s="24"/>
      <c r="J221" s="24"/>
      <c r="K221" s="24"/>
      <c r="L221" s="24"/>
      <c r="M221" s="24"/>
      <c r="N221" s="24"/>
      <c r="O221" s="96"/>
    </row>
    <row r="222" spans="1:15" x14ac:dyDescent="0.25">
      <c r="A222" s="11"/>
      <c r="B222" s="11"/>
      <c r="C222" s="11"/>
      <c r="D222" s="82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1:15" ht="18" x14ac:dyDescent="0.25">
      <c r="A223" s="11"/>
      <c r="B223" s="11"/>
      <c r="C223" s="11"/>
      <c r="D223" s="82"/>
      <c r="E223" s="11"/>
      <c r="F223" s="11"/>
      <c r="G223" s="11"/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0</v>
      </c>
      <c r="O223" s="23" t="s">
        <v>237</v>
      </c>
    </row>
    <row r="224" spans="1:15" ht="18" x14ac:dyDescent="0.25">
      <c r="A224" s="11"/>
      <c r="B224" s="11"/>
      <c r="C224" s="11"/>
      <c r="D224" s="82"/>
      <c r="E224" s="11"/>
      <c r="F224" s="11"/>
      <c r="G224" s="11"/>
      <c r="H224" s="175" t="s">
        <v>273</v>
      </c>
      <c r="I224" s="175"/>
      <c r="J224" s="175"/>
      <c r="K224" s="175"/>
      <c r="L224" s="175"/>
      <c r="M224" s="175"/>
      <c r="N224" s="107">
        <f>N225+N226</f>
        <v>0</v>
      </c>
      <c r="O224" s="23" t="s">
        <v>244</v>
      </c>
    </row>
    <row r="225" spans="1:15" ht="18" x14ac:dyDescent="0.25">
      <c r="A225" s="11"/>
      <c r="B225" s="11"/>
      <c r="C225" s="11"/>
      <c r="D225" s="82"/>
      <c r="E225" s="11"/>
      <c r="F225" s="11"/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0</v>
      </c>
      <c r="O225" s="23" t="s">
        <v>244</v>
      </c>
    </row>
    <row r="226" spans="1:15" ht="18" x14ac:dyDescent="0.25">
      <c r="A226" s="11"/>
      <c r="B226" s="11"/>
      <c r="C226" s="11"/>
      <c r="D226" s="82"/>
      <c r="E226" s="11"/>
      <c r="F226" s="11"/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0</v>
      </c>
      <c r="O226" s="23" t="s">
        <v>244</v>
      </c>
    </row>
  </sheetData>
  <mergeCells count="3">
    <mergeCell ref="H2:O2"/>
    <mergeCell ref="H223:M223"/>
    <mergeCell ref="H224:M2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AEAD-6C89-46D5-A57F-52234FE9A2DD}">
  <dimension ref="A1:O239"/>
  <sheetViews>
    <sheetView zoomScaleNormal="100" workbookViewId="0">
      <selection sqref="A1:XFD104857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hidden="1" customWidth="1"/>
    <col min="7" max="7" width="25.28515625" style="11" hidden="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1" t="s">
        <v>4</v>
      </c>
      <c r="I2" s="172"/>
      <c r="J2" s="172"/>
      <c r="K2" s="172"/>
      <c r="L2" s="172"/>
      <c r="M2" s="172"/>
      <c r="N2" s="172"/>
      <c r="O2" s="173"/>
    </row>
    <row r="3" spans="1:15" ht="18" x14ac:dyDescent="0.25">
      <c r="A3" s="142"/>
      <c r="B3" s="142"/>
      <c r="C3" s="142"/>
      <c r="D3" s="143"/>
      <c r="E3" s="142"/>
      <c r="F3" s="142"/>
      <c r="G3" s="142"/>
      <c r="H3" s="170" t="s">
        <v>217</v>
      </c>
      <c r="I3" s="170" t="s">
        <v>218</v>
      </c>
      <c r="J3" s="170" t="s">
        <v>219</v>
      </c>
      <c r="K3" s="170" t="s">
        <v>232</v>
      </c>
      <c r="L3" s="170" t="s">
        <v>233</v>
      </c>
      <c r="M3" s="170" t="s">
        <v>234</v>
      </c>
      <c r="N3" s="170" t="s">
        <v>235</v>
      </c>
      <c r="O3" s="170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70" t="s">
        <v>237</v>
      </c>
      <c r="I4" s="170" t="s">
        <v>238</v>
      </c>
      <c r="J4" s="170" t="s">
        <v>239</v>
      </c>
      <c r="K4" s="170" t="s">
        <v>240</v>
      </c>
      <c r="L4" s="170" t="s">
        <v>241</v>
      </c>
      <c r="M4" s="170" t="s">
        <v>242</v>
      </c>
      <c r="N4" s="170" t="s">
        <v>243</v>
      </c>
      <c r="O4" s="170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v>185442120</v>
      </c>
      <c r="I5" s="138">
        <v>317350</v>
      </c>
      <c r="J5" s="138">
        <v>4230</v>
      </c>
      <c r="K5" s="138">
        <v>825110</v>
      </c>
      <c r="L5" s="138">
        <v>2458050</v>
      </c>
      <c r="M5" s="138">
        <v>527430</v>
      </c>
      <c r="N5" s="138">
        <v>74750</v>
      </c>
      <c r="O5" s="138">
        <f t="shared" ref="H5:O5" si="0">O6+O153</f>
        <v>0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v>180959260</v>
      </c>
      <c r="I6" s="124">
        <v>30340</v>
      </c>
      <c r="J6" s="124">
        <v>4210</v>
      </c>
      <c r="K6" s="124">
        <v>825110</v>
      </c>
      <c r="L6" s="124">
        <v>2458050</v>
      </c>
      <c r="M6" s="124">
        <v>432640</v>
      </c>
      <c r="N6" s="124">
        <v>74750</v>
      </c>
      <c r="O6" s="124">
        <f t="shared" ref="H6:O6" si="1">O7+O36+O101+O131+O150</f>
        <v>0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v>64141740</v>
      </c>
      <c r="I7" s="129">
        <v>3090</v>
      </c>
      <c r="J7" s="129">
        <v>1340</v>
      </c>
      <c r="K7" s="129">
        <v>204080</v>
      </c>
      <c r="L7" s="129">
        <v>30600</v>
      </c>
      <c r="M7" s="129">
        <v>4510</v>
      </c>
      <c r="N7" s="129">
        <v>46140</v>
      </c>
      <c r="O7" s="129">
        <f t="shared" ref="H7:O7" si="2">O8+O17+O26</f>
        <v>0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v>47369520</v>
      </c>
      <c r="I8" s="134">
        <v>2760</v>
      </c>
      <c r="J8" s="134">
        <v>1300</v>
      </c>
      <c r="K8" s="134">
        <v>160630</v>
      </c>
      <c r="L8" s="134">
        <v>25020</v>
      </c>
      <c r="M8" s="134">
        <v>3100</v>
      </c>
      <c r="N8" s="134">
        <v>40410</v>
      </c>
      <c r="O8" s="134">
        <f t="shared" ref="H8:O8" si="3">O9+O15+O16</f>
        <v>0</v>
      </c>
    </row>
    <row r="9" spans="1:15" outlineLevel="1" x14ac:dyDescent="0.25">
      <c r="A9" s="10" t="s">
        <v>104</v>
      </c>
      <c r="B9" s="1" t="s">
        <v>105</v>
      </c>
      <c r="H9" s="93"/>
      <c r="I9" s="93"/>
      <c r="J9" s="93"/>
      <c r="K9" s="93"/>
      <c r="L9" s="93"/>
      <c r="M9" s="93"/>
      <c r="N9" s="93"/>
      <c r="O9" s="93">
        <f t="shared" ref="I9:O9" si="4">O10+O11+O12+O13+O14</f>
        <v>0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/>
      <c r="I10" s="92"/>
      <c r="J10" s="92"/>
      <c r="K10" s="92"/>
      <c r="L10" s="92"/>
      <c r="M10" s="92"/>
      <c r="N10" s="92"/>
      <c r="O10" s="92">
        <f>IF(D10&lt;400,H10+I10*'Factores generales'!$M$41+J10*'Factores generales'!$N$41,I10*'Factores generales'!$M$41+J10*'Factores generales'!$N$41)</f>
        <v>0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/>
      <c r="I11" s="17"/>
      <c r="J11" s="17"/>
      <c r="K11" s="17"/>
      <c r="L11" s="17"/>
      <c r="M11" s="17"/>
      <c r="N11" s="17"/>
      <c r="O11" s="17">
        <f>IF(D11&lt;400,H11+I11*'Factores generales'!$M$41+J11*'Factores generales'!$N$41,I11*'Factores generales'!$M$41+J11*'Factores generales'!$N$41)</f>
        <v>0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/>
      <c r="I12" s="92"/>
      <c r="J12" s="92"/>
      <c r="K12" s="92"/>
      <c r="L12" s="92"/>
      <c r="M12" s="92"/>
      <c r="N12" s="92"/>
      <c r="O12" s="92">
        <f>IF(D12&lt;400,H12+I12*'Factores generales'!$M$41+J12*'Factores generales'!$N$41,I12*'Factores generales'!$M$41+J12*'Factores generales'!$N$41)</f>
        <v>0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/>
      <c r="I13" s="17"/>
      <c r="J13" s="17"/>
      <c r="K13" s="17"/>
      <c r="L13" s="17"/>
      <c r="M13" s="17"/>
      <c r="N13" s="17"/>
      <c r="O13" s="17">
        <f>IF(D13&lt;400,H13+I13*'Factores generales'!$M$41+J13*'Factores generales'!$N$41,I13*'Factores generales'!$M$41+J13*'Factores generales'!$N$41)</f>
        <v>0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/>
      <c r="I14" s="147"/>
      <c r="J14" s="147"/>
      <c r="K14" s="147"/>
      <c r="L14" s="147"/>
      <c r="M14" s="147"/>
      <c r="N14" s="147"/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v>5052910</v>
      </c>
      <c r="I17" s="134">
        <v>110</v>
      </c>
      <c r="J17" s="134">
        <v>20</v>
      </c>
      <c r="K17" s="134">
        <v>12580</v>
      </c>
      <c r="L17" s="134">
        <v>1520</v>
      </c>
      <c r="M17" s="134">
        <v>400</v>
      </c>
      <c r="N17" s="134">
        <v>2650</v>
      </c>
      <c r="O17" s="134">
        <f t="shared" ref="I17:O17" si="5">SUM(O18:O25)</f>
        <v>0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/>
      <c r="I18" s="17"/>
      <c r="J18" s="17"/>
      <c r="K18" s="17"/>
      <c r="L18" s="17"/>
      <c r="M18" s="17"/>
      <c r="N18" s="17"/>
      <c r="O18" s="87">
        <f>IF(D18&lt;400,H18+I18*'Factores generales'!$M$41+J18*'Factores generales'!$N$41,I18*'Factores generales'!$M$41+J18*'Factores generales'!$N$41)</f>
        <v>0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/>
      <c r="I19" s="17"/>
      <c r="J19" s="17"/>
      <c r="K19" s="17"/>
      <c r="L19" s="17"/>
      <c r="M19" s="17"/>
      <c r="N19" s="17"/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/>
      <c r="I20" s="17"/>
      <c r="J20" s="17"/>
      <c r="K20" s="17"/>
      <c r="L20" s="17"/>
      <c r="M20" s="17"/>
      <c r="N20" s="17"/>
      <c r="O20" s="87">
        <f>IF(D20&lt;400,H20+I20*'Factores generales'!$M$41+J20*'Factores generales'!$N$41,I20*'Factores generales'!$M$41+J20*'Factores generales'!$N$41)</f>
        <v>0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/>
      <c r="I21" s="17"/>
      <c r="J21" s="17"/>
      <c r="K21" s="17"/>
      <c r="L21" s="17"/>
      <c r="M21" s="17"/>
      <c r="N21" s="17"/>
      <c r="O21" s="87">
        <f>IF(D21&lt;400,H21+I21*'Factores generales'!$M$41+J21*'Factores generales'!$N$41,I21*'Factores generales'!$M$41+J21*'Factores generales'!$N$41)</f>
        <v>0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/>
      <c r="I22" s="17"/>
      <c r="J22" s="17"/>
      <c r="K22" s="17"/>
      <c r="L22" s="17"/>
      <c r="M22" s="17"/>
      <c r="N22" s="17"/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/>
      <c r="I23" s="17"/>
      <c r="J23" s="17"/>
      <c r="K23" s="17"/>
      <c r="L23" s="17"/>
      <c r="M23" s="17"/>
      <c r="N23" s="17"/>
      <c r="O23" s="87">
        <f>IF(D23&lt;400,H23+I23*'Factores generales'!$M$41+J23*'Factores generales'!$N$41,I23*'Factores generales'!$M$41+J23*'Factores generales'!$N$41)</f>
        <v>0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/>
      <c r="I24" s="17"/>
      <c r="J24" s="17"/>
      <c r="K24" s="17"/>
      <c r="L24" s="17"/>
      <c r="M24" s="17"/>
      <c r="N24" s="17"/>
      <c r="O24" s="87">
        <f>IF(D24&lt;400,H24+I24*'Factores generales'!$M$41+J24*'Factores generales'!$N$41,I24*'Factores generales'!$M$41+J24*'Factores generales'!$N$41)</f>
        <v>0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/>
      <c r="I25" s="17"/>
      <c r="J25" s="17"/>
      <c r="K25" s="17"/>
      <c r="L25" s="17"/>
      <c r="M25" s="17"/>
      <c r="N25" s="17"/>
      <c r="O25" s="87">
        <f>IF(D25&lt;400,H25+I25*'Factores generales'!$M$41+J25*'Factores generales'!$N$41,I25*'Factores generales'!$M$41+J25*'Factores generales'!$N$41)</f>
        <v>0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v>11719300</v>
      </c>
      <c r="I26" s="134">
        <v>220</v>
      </c>
      <c r="J26" s="134">
        <v>20</v>
      </c>
      <c r="K26" s="134">
        <v>30870</v>
      </c>
      <c r="L26" s="134">
        <v>4059.9999999999995</v>
      </c>
      <c r="M26" s="134">
        <v>1020</v>
      </c>
      <c r="N26" s="134">
        <v>3080</v>
      </c>
      <c r="O26" s="134">
        <f t="shared" ref="I26:O26" si="6">O27+O28</f>
        <v>0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v>11719300</v>
      </c>
      <c r="I28" s="15">
        <v>220</v>
      </c>
      <c r="J28" s="15">
        <v>20</v>
      </c>
      <c r="K28" s="15">
        <v>30870</v>
      </c>
      <c r="L28" s="15">
        <v>4059.9999999999995</v>
      </c>
      <c r="M28" s="15">
        <v>1020</v>
      </c>
      <c r="N28" s="15">
        <v>3080</v>
      </c>
      <c r="O28" s="15">
        <f t="shared" ref="H28:O28" si="7">O29+O32</f>
        <v>0</v>
      </c>
    </row>
    <row r="29" spans="1:15" outlineLevel="1" x14ac:dyDescent="0.25">
      <c r="B29" s="1" t="s">
        <v>7</v>
      </c>
      <c r="G29" s="1"/>
      <c r="H29" s="95"/>
      <c r="I29" s="95"/>
      <c r="J29" s="95"/>
      <c r="K29" s="95"/>
      <c r="L29" s="95"/>
      <c r="M29" s="95"/>
      <c r="N29" s="95"/>
      <c r="O29" s="95">
        <f t="shared" ref="H29:O29" si="8">O30+O31</f>
        <v>0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/>
      <c r="I30" s="17"/>
      <c r="J30" s="17"/>
      <c r="K30" s="17"/>
      <c r="L30" s="17"/>
      <c r="M30" s="17"/>
      <c r="N30" s="17"/>
      <c r="O30" s="87">
        <f>IF(D30&lt;400,H30+I30*'Factores generales'!$M$41+J30*'Factores generales'!$N$41,I30*'Factores generales'!$M$41+J30*'Factores generales'!$N$41)</f>
        <v>0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/>
      <c r="I31" s="17"/>
      <c r="J31" s="17"/>
      <c r="K31" s="17"/>
      <c r="L31" s="17"/>
      <c r="M31" s="17"/>
      <c r="N31" s="17"/>
      <c r="O31" s="87">
        <f>IF(D31&lt;400,H31+I31*'Factores generales'!$M$41+J31*'Factores generales'!$N$41,I31*'Factores generales'!$M$41+J31*'Factores generales'!$N$41)</f>
        <v>0</v>
      </c>
    </row>
    <row r="32" spans="1:15" outlineLevel="1" x14ac:dyDescent="0.25">
      <c r="B32" s="1" t="s">
        <v>6</v>
      </c>
      <c r="G32" s="1"/>
      <c r="H32" s="17"/>
      <c r="I32" s="17"/>
      <c r="J32" s="17"/>
      <c r="K32" s="17"/>
      <c r="L32" s="17"/>
      <c r="M32" s="17"/>
      <c r="N32" s="17"/>
      <c r="O32" s="17">
        <f t="shared" ref="I32:O32" si="9">O33+O34+O35</f>
        <v>0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/>
      <c r="I33" s="17"/>
      <c r="J33" s="17"/>
      <c r="K33" s="17"/>
      <c r="L33" s="17"/>
      <c r="M33" s="17"/>
      <c r="N33" s="17"/>
      <c r="O33" s="87">
        <f>IF(D33&lt;400,H33+I33*'Factores generales'!$M$41+J33*'Factores generales'!$N$41,I33*'Factores generales'!$M$41+J33*'Factores generales'!$N$41)</f>
        <v>0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/>
      <c r="I34" s="17"/>
      <c r="J34" s="17"/>
      <c r="K34" s="17"/>
      <c r="L34" s="17"/>
      <c r="M34" s="17"/>
      <c r="N34" s="17"/>
      <c r="O34" s="87">
        <f>IF(D34&lt;400,H34+I34*'Factores generales'!$M$41+J34*'Factores generales'!$N$41,I34*'Factores generales'!$M$41+J34*'Factores generales'!$N$41)</f>
        <v>0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/>
      <c r="I35" s="17"/>
      <c r="J35" s="17"/>
      <c r="K35" s="17"/>
      <c r="L35" s="17"/>
      <c r="M35" s="17"/>
      <c r="N35" s="17"/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v>33161070</v>
      </c>
      <c r="I36" s="129">
        <v>1530</v>
      </c>
      <c r="J36" s="129">
        <v>220</v>
      </c>
      <c r="K36" s="129">
        <v>73770</v>
      </c>
      <c r="L36" s="129">
        <v>76790</v>
      </c>
      <c r="M36" s="129">
        <v>3080</v>
      </c>
      <c r="N36" s="129">
        <v>7740</v>
      </c>
      <c r="O36" s="129">
        <f t="shared" ref="H36:O36" si="10">O37+O45+O47+O56+O63+O70</f>
        <v>0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v>8064850</v>
      </c>
      <c r="I37" s="134">
        <v>60</v>
      </c>
      <c r="J37" s="134">
        <v>10</v>
      </c>
      <c r="K37" s="134">
        <v>9080</v>
      </c>
      <c r="L37" s="134">
        <v>1820</v>
      </c>
      <c r="M37" s="134">
        <v>300</v>
      </c>
      <c r="N37" s="134"/>
      <c r="O37" s="134">
        <f t="shared" ref="I37:O37" si="11">SUM(O38:O44)</f>
        <v>0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/>
      <c r="I38" s="17"/>
      <c r="J38" s="17"/>
      <c r="K38" s="17"/>
      <c r="L38" s="17"/>
      <c r="M38" s="17"/>
      <c r="N38" s="17"/>
      <c r="O38" s="87">
        <f>IF(D38&lt;400,H38+I38*'Factores generales'!$M$41+J38*'Factores generales'!$N$41,I38*'Factores generales'!$M$41+J38*'Factores generales'!$N$41)</f>
        <v>0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/>
      <c r="I39" s="17"/>
      <c r="J39" s="17"/>
      <c r="K39" s="17"/>
      <c r="L39" s="17"/>
      <c r="M39" s="17"/>
      <c r="N39" s="17"/>
      <c r="O39" s="87">
        <f>IF(D39&lt;400,H39+I39*'Factores generales'!$M$41+J39*'Factores generales'!$N$41,I39*'Factores generales'!$M$41+J39*'Factores generales'!$N$41)</f>
        <v>0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/>
      <c r="I40" s="17"/>
      <c r="J40" s="17"/>
      <c r="K40" s="17"/>
      <c r="L40" s="17"/>
      <c r="M40" s="17"/>
      <c r="N40" s="17"/>
      <c r="O40" s="87">
        <f>IF(D40&lt;400,H40+I40*'Factores generales'!$M$41+J40*'Factores generales'!$N$41,I40*'Factores generales'!$M$41+J40*'Factores generales'!$N$41)</f>
        <v>0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/>
      <c r="I41" s="17"/>
      <c r="J41" s="17"/>
      <c r="K41" s="17"/>
      <c r="L41" s="17"/>
      <c r="M41" s="17"/>
      <c r="N41" s="17"/>
      <c r="O41" s="87">
        <f>IF(D41&lt;400,H41+I41*'Factores generales'!$M$41+J41*'Factores generales'!$N$41,I41*'Factores generales'!$M$41+J41*'Factores generales'!$N$41)</f>
        <v>0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/>
      <c r="I42" s="17"/>
      <c r="J42" s="17"/>
      <c r="K42" s="17"/>
      <c r="L42" s="17"/>
      <c r="M42" s="17"/>
      <c r="N42" s="17"/>
      <c r="O42" s="87">
        <f>IF(D42&lt;400,H42+I42*'Factores generales'!$M$41+J42*'Factores generales'!$N$41,I42*'Factores generales'!$M$41+J42*'Factores generales'!$N$41)</f>
        <v>0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/>
      <c r="I43" s="17"/>
      <c r="J43" s="17"/>
      <c r="K43" s="17"/>
      <c r="L43" s="17"/>
      <c r="M43" s="17"/>
      <c r="N43" s="17"/>
      <c r="O43" s="87">
        <f>IF(D43&lt;400,H43+I43*'Factores generales'!$M$41+J43*'Factores generales'!$N$41,I43*'Factores generales'!$M$41+J43*'Factores generales'!$N$41)</f>
        <v>0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/>
      <c r="I44" s="17"/>
      <c r="J44" s="17"/>
      <c r="K44" s="17"/>
      <c r="L44" s="17"/>
      <c r="M44" s="17"/>
      <c r="N44" s="17"/>
      <c r="O44" s="87">
        <f>IF(D44&lt;400,H44+I44*'Factores generales'!$M$41+J44*'Factores generales'!$N$41,I44*'Factores generales'!$M$41+J44*'Factores generales'!$N$41)</f>
        <v>0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v>372170</v>
      </c>
      <c r="I45" s="134">
        <v>10</v>
      </c>
      <c r="J45" s="134">
        <v>0</v>
      </c>
      <c r="K45" s="134">
        <v>1000</v>
      </c>
      <c r="L45" s="134">
        <v>200</v>
      </c>
      <c r="M45" s="134">
        <v>30</v>
      </c>
      <c r="N45" s="134"/>
      <c r="O45" s="134">
        <f t="shared" ref="I45:O45" si="12">O46</f>
        <v>0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/>
      <c r="I46" s="17"/>
      <c r="J46" s="17"/>
      <c r="K46" s="17"/>
      <c r="L46" s="17"/>
      <c r="M46" s="17"/>
      <c r="N46" s="17"/>
      <c r="O46" s="87">
        <f>IF(D46&lt;400,H46+I46*'Factores generales'!$M$41+J46*'Factores generales'!$N$41,I46*'Factores generales'!$M$41+J46*'Factores generales'!$N$41)</f>
        <v>0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v>1894620</v>
      </c>
      <c r="I47" s="134">
        <v>30</v>
      </c>
      <c r="J47" s="134">
        <v>0</v>
      </c>
      <c r="K47" s="134">
        <v>5060</v>
      </c>
      <c r="L47" s="134">
        <v>1010</v>
      </c>
      <c r="M47" s="134">
        <v>170</v>
      </c>
      <c r="N47" s="134">
        <v>10</v>
      </c>
      <c r="O47" s="134">
        <f t="shared" ref="I47:O47" si="13">SUM(O48:O55)</f>
        <v>0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/>
      <c r="I48" s="17"/>
      <c r="J48" s="17"/>
      <c r="K48" s="17"/>
      <c r="L48" s="17"/>
      <c r="M48" s="17"/>
      <c r="N48" s="17"/>
      <c r="O48" s="87">
        <f>IF(D48&lt;400,H48+I48*'Factores generales'!$M$41+J48*'Factores generales'!$N$41,I48*'Factores generales'!$M$41+J48*'Factores generales'!$N$41)</f>
        <v>0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/>
      <c r="I49" s="17"/>
      <c r="J49" s="17"/>
      <c r="K49" s="17"/>
      <c r="L49" s="17"/>
      <c r="M49" s="17"/>
      <c r="N49" s="17"/>
      <c r="O49" s="87">
        <f>IF(D49&lt;400,H49+I49*'Factores generales'!$M$41+J49*'Factores generales'!$N$41,I49*'Factores generales'!$M$41+J49*'Factores generales'!$N$41)</f>
        <v>0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/>
      <c r="I50" s="17"/>
      <c r="J50" s="17"/>
      <c r="K50" s="17"/>
      <c r="L50" s="17"/>
      <c r="M50" s="17"/>
      <c r="N50" s="17"/>
      <c r="O50" s="87">
        <f>IF(D50&lt;400,H50+I50*'Factores generales'!$M$41+J50*'Factores generales'!$N$41,I50*'Factores generales'!$M$41+J50*'Factores generales'!$N$41)</f>
        <v>0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/>
      <c r="I51" s="17"/>
      <c r="J51" s="17"/>
      <c r="K51" s="17"/>
      <c r="L51" s="17"/>
      <c r="M51" s="17"/>
      <c r="N51" s="17"/>
      <c r="O51" s="87">
        <f>IF(D51&lt;400,H51+I51*'Factores generales'!$M$41+J51*'Factores generales'!$N$41,I51*'Factores generales'!$M$41+J51*'Factores generales'!$N$41)</f>
        <v>0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/>
      <c r="I52" s="17"/>
      <c r="J52" s="17"/>
      <c r="K52" s="17"/>
      <c r="L52" s="17"/>
      <c r="M52" s="17"/>
      <c r="N52" s="17"/>
      <c r="O52" s="87">
        <f>IF(D52&lt;400,H52+I52*'Factores generales'!$M$41+J52*'Factores generales'!$N$41,I52*'Factores generales'!$M$41+J52*'Factores generales'!$N$41)</f>
        <v>0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/>
      <c r="I53" s="17"/>
      <c r="J53" s="17"/>
      <c r="K53" s="17"/>
      <c r="L53" s="17"/>
      <c r="M53" s="17"/>
      <c r="N53" s="17"/>
      <c r="O53" s="87">
        <f>IF(D53&lt;400,H53+I53*'Factores generales'!$M$41+J53*'Factores generales'!$N$41,I53*'Factores generales'!$M$41+J53*'Factores generales'!$N$41)</f>
        <v>0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/>
      <c r="I54" s="17"/>
      <c r="J54" s="17"/>
      <c r="K54" s="17"/>
      <c r="L54" s="17"/>
      <c r="M54" s="17"/>
      <c r="N54" s="17"/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/>
      <c r="I55" s="17"/>
      <c r="J55" s="17"/>
      <c r="K55" s="17"/>
      <c r="L55" s="17"/>
      <c r="M55" s="17"/>
      <c r="N55" s="17"/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v>640340</v>
      </c>
      <c r="I56" s="134">
        <v>40</v>
      </c>
      <c r="J56" s="134">
        <v>20</v>
      </c>
      <c r="K56" s="134">
        <v>1710</v>
      </c>
      <c r="L56" s="134">
        <v>340</v>
      </c>
      <c r="M56" s="134">
        <v>60</v>
      </c>
      <c r="N56" s="134">
        <v>0</v>
      </c>
      <c r="O56" s="134">
        <f t="shared" ref="J56:O56" si="14">SUM(O57:O62)</f>
        <v>0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/>
      <c r="I57" s="17"/>
      <c r="J57" s="17"/>
      <c r="K57" s="17"/>
      <c r="L57" s="17"/>
      <c r="M57" s="17"/>
      <c r="N57" s="17"/>
      <c r="O57" s="87">
        <f>IF(D57&lt;400,H57+I57*'Factores generales'!$M$41+J57*'Factores generales'!$N$41,I57*'Factores generales'!$M$41+J57*'Factores generales'!$N$41)</f>
        <v>0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/>
      <c r="I58" s="17"/>
      <c r="J58" s="17"/>
      <c r="K58" s="17"/>
      <c r="L58" s="17"/>
      <c r="M58" s="17"/>
      <c r="N58" s="17"/>
      <c r="O58" s="87">
        <f>IF(D58&lt;400,H58+I58*'Factores generales'!$M$41+J58*'Factores generales'!$N$41,I58*'Factores generales'!$M$41+J58*'Factores generales'!$N$41)</f>
        <v>0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/>
      <c r="I59" s="17"/>
      <c r="J59" s="17"/>
      <c r="K59" s="17"/>
      <c r="L59" s="17"/>
      <c r="M59" s="17"/>
      <c r="N59" s="17"/>
      <c r="O59" s="87">
        <f>IF(D59&lt;400,H59+I59*'Factores generales'!$M$41+J59*'Factores generales'!$N$41,I59*'Factores generales'!$M$41+J59*'Factores generales'!$N$41)</f>
        <v>0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/>
      <c r="I60" s="17"/>
      <c r="J60" s="17"/>
      <c r="K60" s="17"/>
      <c r="L60" s="17"/>
      <c r="M60" s="17"/>
      <c r="N60" s="17"/>
      <c r="O60" s="87">
        <f>IF(D60&lt;400,H60+I60*'Factores generales'!$M$41+J60*'Factores generales'!$N$41,I60*'Factores generales'!$M$41+J60*'Factores generales'!$N$41)</f>
        <v>0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/>
      <c r="I61" s="17"/>
      <c r="J61" s="17"/>
      <c r="K61" s="17"/>
      <c r="L61" s="17"/>
      <c r="M61" s="17"/>
      <c r="N61" s="17"/>
      <c r="O61" s="87">
        <f>IF(D61&lt;400,H61+I61*'Factores generales'!$M$41+J61*'Factores generales'!$N$41,I61*'Factores generales'!$M$41+J61*'Factores generales'!$N$41)</f>
        <v>0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/>
      <c r="I62" s="17"/>
      <c r="J62" s="17"/>
      <c r="K62" s="17"/>
      <c r="L62" s="17"/>
      <c r="M62" s="17"/>
      <c r="N62" s="17"/>
      <c r="O62" s="87">
        <f>IF(D62&lt;400,H62+I62*'Factores generales'!$M$41+J62*'Factores generales'!$N$41,I62*'Factores generales'!$M$41+J62*'Factores generales'!$N$41)</f>
        <v>0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v>3793330</v>
      </c>
      <c r="I63" s="134">
        <v>550</v>
      </c>
      <c r="J63" s="134">
        <v>70</v>
      </c>
      <c r="K63" s="134">
        <v>11760</v>
      </c>
      <c r="L63" s="134">
        <v>66650</v>
      </c>
      <c r="M63" s="134">
        <v>1150</v>
      </c>
      <c r="N63" s="134"/>
      <c r="O63" s="134">
        <f t="shared" ref="J63:O63" si="15">SUM(O64:O69)</f>
        <v>0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/>
      <c r="I64" s="17"/>
      <c r="J64" s="17"/>
      <c r="K64" s="17"/>
      <c r="L64" s="17"/>
      <c r="M64" s="17"/>
      <c r="N64" s="17"/>
      <c r="O64" s="87">
        <f>IF(D64&lt;400,H64+I64*'Factores generales'!$M$41+J64*'Factores generales'!$N$41,I64*'Factores generales'!$M$41+J64*'Factores generales'!$N$41)</f>
        <v>0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/>
      <c r="I65" s="17"/>
      <c r="J65" s="17"/>
      <c r="K65" s="17"/>
      <c r="L65" s="17"/>
      <c r="M65" s="17"/>
      <c r="N65" s="17"/>
      <c r="O65" s="87">
        <f>IF(D65&lt;400,H65+I65*'Factores generales'!$M$41+J65*'Factores generales'!$N$41,I65*'Factores generales'!$M$41+J65*'Factores generales'!$N$41)</f>
        <v>0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/>
      <c r="I66" s="17"/>
      <c r="J66" s="17"/>
      <c r="K66" s="17"/>
      <c r="L66" s="17"/>
      <c r="M66" s="17"/>
      <c r="N66" s="17"/>
      <c r="O66" s="87">
        <f>IF(D66&lt;400,H66+I66*'Factores generales'!$M$41+J66*'Factores generales'!$N$41,I66*'Factores generales'!$M$41+J66*'Factores generales'!$N$41)</f>
        <v>0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/>
      <c r="I67" s="17"/>
      <c r="J67" s="17"/>
      <c r="K67" s="17"/>
      <c r="L67" s="17"/>
      <c r="M67" s="17"/>
      <c r="N67" s="17"/>
      <c r="O67" s="87">
        <f>IF(D67&lt;400,H67+I67*'Factores generales'!$M$41+J67*'Factores generales'!$N$41,I67*'Factores generales'!$M$41+J67*'Factores generales'!$N$41)</f>
        <v>0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/>
      <c r="I68" s="17"/>
      <c r="J68" s="17"/>
      <c r="K68" s="17"/>
      <c r="L68" s="17"/>
      <c r="M68" s="17"/>
      <c r="N68" s="17"/>
      <c r="O68" s="87">
        <f>IF(D68&lt;400,H68+I68*'Factores generales'!$M$41+J68*'Factores generales'!$N$41,I68*'Factores generales'!$M$41+J68*'Factores generales'!$N$41)</f>
        <v>0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/>
      <c r="I69" s="17"/>
      <c r="J69" s="17"/>
      <c r="K69" s="17"/>
      <c r="L69" s="17"/>
      <c r="M69" s="17"/>
      <c r="N69" s="17"/>
      <c r="O69" s="87">
        <f>IF(D69&lt;400,H69+I69*'Factores generales'!$M$41+J69*'Factores generales'!$N$41,I69*'Factores generales'!$M$41+J69*'Factores generales'!$N$41)</f>
        <v>0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/>
      <c r="I70" s="134"/>
      <c r="J70" s="134"/>
      <c r="K70" s="134"/>
      <c r="L70" s="134"/>
      <c r="M70" s="134"/>
      <c r="N70" s="134"/>
      <c r="O70" s="134">
        <f t="shared" ref="H70:O70" si="16">O71+O77+O80+O86+O90+O94</f>
        <v>0</v>
      </c>
    </row>
    <row r="71" spans="1:15" outlineLevel="1" x14ac:dyDescent="0.25">
      <c r="B71" s="1" t="s">
        <v>36</v>
      </c>
      <c r="G71" s="1"/>
      <c r="H71" s="15">
        <v>2114040</v>
      </c>
      <c r="I71" s="15">
        <v>40</v>
      </c>
      <c r="J71" s="15">
        <v>0</v>
      </c>
      <c r="K71" s="15">
        <v>5650</v>
      </c>
      <c r="L71" s="15">
        <v>1130</v>
      </c>
      <c r="M71" s="15">
        <v>190</v>
      </c>
      <c r="N71" s="15"/>
      <c r="O71" s="15">
        <f t="shared" ref="J71:O71" si="17">SUM(O72:O76)</f>
        <v>0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/>
      <c r="I72" s="17"/>
      <c r="J72" s="17"/>
      <c r="K72" s="17"/>
      <c r="L72" s="17"/>
      <c r="M72" s="17"/>
      <c r="N72" s="17"/>
      <c r="O72" s="87">
        <f>IF(D72&lt;400,H72+I72*'Factores generales'!$M$41+J72*'Factores generales'!$N$41,I72*'Factores generales'!$M$41+J72*'Factores generales'!$N$41)</f>
        <v>0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/>
      <c r="I73" s="17"/>
      <c r="J73" s="17"/>
      <c r="K73" s="17"/>
      <c r="L73" s="17"/>
      <c r="M73" s="17"/>
      <c r="N73" s="17"/>
      <c r="O73" s="87">
        <f>IF(D73&lt;400,H73+I73*'Factores generales'!$M$41+J73*'Factores generales'!$N$41,I73*'Factores generales'!$M$41+J73*'Factores generales'!$N$41)</f>
        <v>0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/>
      <c r="I74" s="17"/>
      <c r="J74" s="17"/>
      <c r="K74" s="17"/>
      <c r="L74" s="17"/>
      <c r="M74" s="17"/>
      <c r="N74" s="17"/>
      <c r="O74" s="87">
        <f>IF(D74&lt;400,H74+I74*'Factores generales'!$M$41+J74*'Factores generales'!$N$41,I74*'Factores generales'!$M$41+J74*'Factores generales'!$N$41)</f>
        <v>0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/>
      <c r="I75" s="17"/>
      <c r="J75" s="17"/>
      <c r="K75" s="17"/>
      <c r="L75" s="17"/>
      <c r="M75" s="17"/>
      <c r="N75" s="17"/>
      <c r="O75" s="87">
        <f>IF(D75&lt;400,H75+I75*'Factores generales'!$M$41+J75*'Factores generales'!$N$41,I75*'Factores generales'!$M$41+J75*'Factores generales'!$N$41)</f>
        <v>0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/>
      <c r="I76" s="17"/>
      <c r="J76" s="17"/>
      <c r="K76" s="17"/>
      <c r="L76" s="17"/>
      <c r="M76" s="17"/>
      <c r="N76" s="17"/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v>98690</v>
      </c>
      <c r="I77" s="15">
        <v>0</v>
      </c>
      <c r="J77" s="15">
        <v>0</v>
      </c>
      <c r="K77" s="15">
        <v>260</v>
      </c>
      <c r="L77" s="15">
        <v>50</v>
      </c>
      <c r="M77" s="15">
        <v>10</v>
      </c>
      <c r="N77" s="15"/>
      <c r="O77" s="15">
        <f t="shared" ref="H77:O77" si="18">O78+O79</f>
        <v>0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/>
      <c r="I78" s="17"/>
      <c r="J78" s="17"/>
      <c r="K78" s="17"/>
      <c r="L78" s="17"/>
      <c r="M78" s="17"/>
      <c r="N78" s="17"/>
      <c r="O78" s="87">
        <f>IF(D78&lt;400,H78+I78*'Factores generales'!$M$41+J78*'Factores generales'!$N$41,I78*'Factores generales'!$M$41+J78*'Factores generales'!$N$41)</f>
        <v>0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/>
      <c r="I79" s="17"/>
      <c r="J79" s="17"/>
      <c r="K79" s="17"/>
      <c r="L79" s="17"/>
      <c r="M79" s="17"/>
      <c r="N79" s="17"/>
      <c r="O79" s="87">
        <f>IF(D79&lt;400,H79+I79*'Factores generales'!$M$41+J79*'Factores generales'!$N$41,I79*'Factores generales'!$M$41+J79*'Factores generales'!$N$41)</f>
        <v>0</v>
      </c>
    </row>
    <row r="80" spans="1:15" outlineLevel="1" x14ac:dyDescent="0.25">
      <c r="B80" s="1" t="s">
        <v>37</v>
      </c>
      <c r="G80" s="1"/>
      <c r="H80" s="15">
        <v>33420</v>
      </c>
      <c r="I80" s="15">
        <v>0</v>
      </c>
      <c r="J80" s="15">
        <v>0</v>
      </c>
      <c r="K80" s="15">
        <v>90</v>
      </c>
      <c r="L80" s="15">
        <v>20</v>
      </c>
      <c r="M80" s="15">
        <v>0</v>
      </c>
      <c r="N80" s="15"/>
      <c r="O80" s="15">
        <f t="shared" ref="J80:O80" si="19">SUM(O81:O85)</f>
        <v>0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/>
      <c r="I81" s="17"/>
      <c r="J81" s="17"/>
      <c r="K81" s="17"/>
      <c r="L81" s="17"/>
      <c r="M81" s="17"/>
      <c r="N81" s="17"/>
      <c r="O81" s="87">
        <f>IF(D81&lt;400,H81+I81*'Factores generales'!$M$41+J81*'Factores generales'!$N$41,I81*'Factores generales'!$M$41+J81*'Factores generales'!$N$41)</f>
        <v>0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/>
      <c r="I82" s="17"/>
      <c r="J82" s="17"/>
      <c r="K82" s="17"/>
      <c r="L82" s="17"/>
      <c r="M82" s="17"/>
      <c r="N82" s="17"/>
      <c r="O82" s="87">
        <f>IF(D82&lt;400,H82+I82*'Factores generales'!$M$41+J82*'Factores generales'!$N$41,I82*'Factores generales'!$M$41+J82*'Factores generales'!$N$41)</f>
        <v>0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/>
      <c r="I83" s="95"/>
      <c r="J83" s="17"/>
      <c r="K83" s="17"/>
      <c r="L83" s="17"/>
      <c r="M83" s="17"/>
      <c r="N83" s="17"/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/>
      <c r="I84" s="95"/>
      <c r="J84" s="17"/>
      <c r="K84" s="17"/>
      <c r="L84" s="17"/>
      <c r="M84" s="17"/>
      <c r="N84" s="17"/>
      <c r="O84" s="87">
        <f>IF(D84&lt;400,H84+I84*'Factores generales'!$M$41+J84*'Factores generales'!$N$41,I84*'Factores generales'!$M$41+J84*'Factores generales'!$N$41)</f>
        <v>0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/>
      <c r="I85" s="95"/>
      <c r="J85" s="17"/>
      <c r="K85" s="17"/>
      <c r="L85" s="17"/>
      <c r="M85" s="17"/>
      <c r="N85" s="17"/>
      <c r="O85" s="87">
        <f>IF(D85&lt;400,H85+I85*'Factores generales'!$M$41+J85*'Factores generales'!$N$41,I85*'Factores generales'!$M$41+J85*'Factores generales'!$N$41)</f>
        <v>0</v>
      </c>
    </row>
    <row r="86" spans="2:15" outlineLevel="1" x14ac:dyDescent="0.25">
      <c r="B86" s="1" t="s">
        <v>38</v>
      </c>
      <c r="G86" s="1"/>
      <c r="H86" s="15">
        <v>22310</v>
      </c>
      <c r="I86" s="15">
        <v>0</v>
      </c>
      <c r="J86" s="15">
        <v>0</v>
      </c>
      <c r="K86" s="15">
        <v>600</v>
      </c>
      <c r="L86" s="15">
        <v>120</v>
      </c>
      <c r="M86" s="15">
        <v>20</v>
      </c>
      <c r="N86" s="15"/>
      <c r="O86" s="15">
        <f t="shared" ref="J86:O86" si="20">O87+O88+O89</f>
        <v>0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/>
      <c r="I87" s="17"/>
      <c r="J87" s="17"/>
      <c r="K87" s="17"/>
      <c r="L87" s="17"/>
      <c r="M87" s="17"/>
      <c r="N87" s="17"/>
      <c r="O87" s="87">
        <f>IF(D87&lt;400,H87+I87*'Factores generales'!$M$41+J87*'Factores generales'!$N$41,I87*'Factores generales'!$M$41+J87*'Factores generales'!$N$41)</f>
        <v>0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/>
      <c r="I88" s="17"/>
      <c r="J88" s="17"/>
      <c r="K88" s="17"/>
      <c r="L88" s="17"/>
      <c r="M88" s="17"/>
      <c r="N88" s="17"/>
      <c r="O88" s="87">
        <f>IF(D88&lt;400,H88+I88*'Factores generales'!$M$41+J88*'Factores generales'!$N$41,I88*'Factores generales'!$M$41+J88*'Factores generales'!$N$41)</f>
        <v>0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/>
      <c r="I89" s="95"/>
      <c r="J89" s="17"/>
      <c r="K89" s="17"/>
      <c r="L89" s="17"/>
      <c r="M89" s="17"/>
      <c r="N89" s="17"/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v>15926300</v>
      </c>
      <c r="I90" s="15">
        <v>790</v>
      </c>
      <c r="J90" s="15">
        <v>120</v>
      </c>
      <c r="K90" s="15">
        <v>38560</v>
      </c>
      <c r="L90" s="15">
        <v>5460</v>
      </c>
      <c r="M90" s="15">
        <v>1160</v>
      </c>
      <c r="N90" s="15">
        <v>7720</v>
      </c>
      <c r="O90" s="15">
        <f t="shared" ref="H90:O90" si="21">O91+O92+O93</f>
        <v>0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/>
      <c r="I91" s="17"/>
      <c r="J91" s="17"/>
      <c r="K91" s="17"/>
      <c r="L91" s="17"/>
      <c r="M91" s="17"/>
      <c r="N91" s="17"/>
      <c r="O91" s="87">
        <f>IF(D91&lt;400,H91+I91*'Factores generales'!$M$41+J91*'Factores generales'!$N$41,I91*'Factores generales'!$M$41+J91*'Factores generales'!$N$41)</f>
        <v>0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/>
      <c r="I92" s="17"/>
      <c r="J92" s="17"/>
      <c r="K92" s="17"/>
      <c r="L92" s="17"/>
      <c r="M92" s="17"/>
      <c r="N92" s="17"/>
      <c r="O92" s="87">
        <f>IF(D92&lt;400,H92+I92*'Factores generales'!$M$41+J92*'Factores generales'!$N$41,I92*'Factores generales'!$M$41+J92*'Factores generales'!$N$41)</f>
        <v>0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/>
      <c r="I93" s="17"/>
      <c r="J93" s="17"/>
      <c r="K93" s="17"/>
      <c r="L93" s="17"/>
      <c r="M93" s="17"/>
      <c r="N93" s="17"/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/>
      <c r="I94" s="15"/>
      <c r="J94" s="15"/>
      <c r="K94" s="15"/>
      <c r="L94" s="15"/>
      <c r="M94" s="15"/>
      <c r="N94" s="15"/>
      <c r="O94" s="15">
        <f t="shared" ref="I94:O94" si="22">SUM(O95:O100)</f>
        <v>0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/>
      <c r="I95" s="17"/>
      <c r="J95" s="17"/>
      <c r="K95" s="17"/>
      <c r="L95" s="17"/>
      <c r="M95" s="17"/>
      <c r="N95" s="17"/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/>
      <c r="I96" s="17"/>
      <c r="J96" s="17"/>
      <c r="K96" s="17"/>
      <c r="L96" s="17"/>
      <c r="M96" s="17"/>
      <c r="N96" s="17"/>
      <c r="O96" s="87">
        <f>IF(D96&lt;400,H96+I96*'Factores generales'!$M$41+J96*'Factores generales'!$N$41,I96*'Factores generales'!$M$41+J96*'Factores generales'!$N$41)</f>
        <v>0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/>
      <c r="I97" s="17"/>
      <c r="J97" s="17"/>
      <c r="K97" s="17"/>
      <c r="L97" s="17"/>
      <c r="M97" s="17"/>
      <c r="N97" s="17"/>
      <c r="O97" s="87">
        <f>IF(D97&lt;400,H97+I97*'Factores generales'!$M$41+J97*'Factores generales'!$N$41,I97*'Factores generales'!$M$41+J97*'Factores generales'!$N$41)</f>
        <v>0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/>
      <c r="I98" s="17"/>
      <c r="J98" s="17"/>
      <c r="K98" s="17"/>
      <c r="L98" s="17"/>
      <c r="M98" s="17"/>
      <c r="N98" s="17"/>
      <c r="O98" s="87">
        <f>IF(D98&lt;400,H98+I98*'Factores generales'!$M$41+J98*'Factores generales'!$N$41,I98*'Factores generales'!$M$41+J98*'Factores generales'!$N$41)</f>
        <v>0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/>
      <c r="I99" s="17"/>
      <c r="J99" s="17"/>
      <c r="K99" s="17"/>
      <c r="L99" s="17"/>
      <c r="M99" s="17"/>
      <c r="N99" s="17"/>
      <c r="O99" s="87">
        <f>IF(D99&lt;400,H99+I99*'Factores generales'!$M$41+J99*'Factores generales'!$N$41,I99*'Factores generales'!$M$41+J99*'Factores generales'!$N$41)</f>
        <v>0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/>
      <c r="I100" s="17"/>
      <c r="J100" s="17"/>
      <c r="K100" s="17"/>
      <c r="L100" s="17"/>
      <c r="M100" s="17"/>
      <c r="N100" s="17"/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v>49049390</v>
      </c>
      <c r="I101" s="129">
        <v>18500</v>
      </c>
      <c r="J101" s="129">
        <v>2530</v>
      </c>
      <c r="K101" s="129">
        <v>518390</v>
      </c>
      <c r="L101" s="129">
        <v>2243080</v>
      </c>
      <c r="M101" s="129">
        <v>418120</v>
      </c>
      <c r="N101" s="129">
        <v>14530</v>
      </c>
      <c r="O101" s="129">
        <f t="shared" ref="H101:O101" si="23">O102+O107+O116+O118+O125</f>
        <v>0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v>1861930</v>
      </c>
      <c r="I102" s="134">
        <v>10</v>
      </c>
      <c r="J102" s="134">
        <v>50</v>
      </c>
      <c r="K102" s="134">
        <v>6510</v>
      </c>
      <c r="L102" s="134">
        <v>0</v>
      </c>
      <c r="M102" s="134">
        <v>0</v>
      </c>
      <c r="N102" s="134">
        <v>1170</v>
      </c>
      <c r="O102" s="134">
        <f t="shared" ref="I102:O102" si="24">O105</f>
        <v>0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/>
      <c r="I103" s="15"/>
      <c r="J103" s="15"/>
      <c r="K103" s="15"/>
      <c r="L103" s="15"/>
      <c r="M103" s="15"/>
      <c r="N103" s="15"/>
      <c r="O103" s="15">
        <f t="shared" ref="I103:O103" si="25">O104</f>
        <v>0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/>
      <c r="I104" s="17"/>
      <c r="J104" s="17"/>
      <c r="K104" s="17"/>
      <c r="L104" s="17"/>
      <c r="M104" s="17"/>
      <c r="N104" s="17"/>
      <c r="O104" s="87">
        <f>IF(D104&lt;400,H104+I104*'Factores generales'!$M$41+J104*'Factores generales'!$N$41,I104*'Factores generales'!$M$41+J104*'Factores generales'!$N$41)</f>
        <v>0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v>1861930</v>
      </c>
      <c r="I105" s="15">
        <v>10</v>
      </c>
      <c r="J105" s="15">
        <v>50</v>
      </c>
      <c r="K105" s="15">
        <v>6510</v>
      </c>
      <c r="L105" s="15">
        <v>0</v>
      </c>
      <c r="M105" s="15">
        <v>0</v>
      </c>
      <c r="N105" s="15">
        <v>1170</v>
      </c>
      <c r="O105" s="15">
        <f t="shared" ref="I105:O105" si="26">O106</f>
        <v>0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/>
      <c r="I106" s="17"/>
      <c r="J106" s="17"/>
      <c r="K106" s="17"/>
      <c r="L106" s="17"/>
      <c r="M106" s="17"/>
      <c r="N106" s="17"/>
      <c r="O106" s="87">
        <f>IF(D106&lt;400,H106+I106*'Factores generales'!$M$41+J106*'Factores generales'!$N$41,I106*'Factores generales'!$M$41+J106*'Factores generales'!$N$41)</f>
        <v>0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v>44393970</v>
      </c>
      <c r="I107" s="134">
        <v>18350</v>
      </c>
      <c r="J107" s="134">
        <v>2430</v>
      </c>
      <c r="K107" s="134">
        <v>444570</v>
      </c>
      <c r="L107" s="134">
        <v>2198120</v>
      </c>
      <c r="M107" s="134">
        <v>409130</v>
      </c>
      <c r="N107" s="134">
        <v>12240</v>
      </c>
      <c r="O107" s="134">
        <f t="shared" ref="H107:O107" si="27">O108+O114</f>
        <v>0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/>
      <c r="I108" s="15"/>
      <c r="J108" s="15"/>
      <c r="K108" s="15"/>
      <c r="L108" s="15"/>
      <c r="M108" s="15"/>
      <c r="N108" s="15"/>
      <c r="O108" s="15">
        <f t="shared" ref="I108:O108" si="28">O109+O110+O111+O112+O113</f>
        <v>0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/>
      <c r="I109" s="17"/>
      <c r="J109" s="17"/>
      <c r="K109" s="17"/>
      <c r="L109" s="17"/>
      <c r="M109" s="17"/>
      <c r="N109" s="17"/>
      <c r="O109" s="87">
        <f>IF(D109&lt;400,H109+I109*'Factores generales'!$M$41+J109*'Factores generales'!$N$41,I109*'Factores generales'!$M$41+J109*'Factores generales'!$N$41)</f>
        <v>0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/>
      <c r="I110" s="17"/>
      <c r="J110" s="17"/>
      <c r="K110" s="17"/>
      <c r="L110" s="17"/>
      <c r="M110" s="17"/>
      <c r="N110" s="17"/>
      <c r="O110" s="87">
        <f>IF(D110&lt;400,H110+I110*'Factores generales'!$M$41+J110*'Factores generales'!$N$41,I110*'Factores generales'!$M$41+J110*'Factores generales'!$N$41)</f>
        <v>0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/>
      <c r="I111" s="17"/>
      <c r="J111" s="17"/>
      <c r="K111" s="17"/>
      <c r="L111" s="17"/>
      <c r="M111" s="17"/>
      <c r="N111" s="17"/>
      <c r="O111" s="87">
        <f>IF(D111&lt;400,H111+I111*'Factores generales'!$M$41+J111*'Factores generales'!$N$41,I111*'Factores generales'!$M$41+J111*'Factores generales'!$N$41)</f>
        <v>0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/>
      <c r="I112" s="17"/>
      <c r="J112" s="17"/>
      <c r="K112" s="17"/>
      <c r="L112" s="17"/>
      <c r="M112" s="17"/>
      <c r="N112" s="17"/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/>
      <c r="I113" s="17"/>
      <c r="J113" s="17"/>
      <c r="K113" s="17"/>
      <c r="L113" s="17"/>
      <c r="M113" s="17"/>
      <c r="N113" s="17"/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/>
      <c r="I114" s="15"/>
      <c r="J114" s="15"/>
      <c r="K114" s="15"/>
      <c r="L114" s="15"/>
      <c r="M114" s="15"/>
      <c r="N114" s="15"/>
      <c r="O114" s="15">
        <f t="shared" ref="I114:O114" si="29">O115</f>
        <v>0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/>
      <c r="I115" s="17"/>
      <c r="J115" s="17"/>
      <c r="K115" s="17"/>
      <c r="L115" s="17"/>
      <c r="M115" s="17"/>
      <c r="N115" s="17"/>
      <c r="O115" s="87">
        <f>IF(D115&lt;400,H115+I115*'Factores generales'!$M$41+J115*'Factores generales'!$N$41,I115*'Factores generales'!$M$41+J115*'Factores generales'!$N$41)</f>
        <v>0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v>33030</v>
      </c>
      <c r="I116" s="134">
        <v>0</v>
      </c>
      <c r="J116" s="134">
        <v>100</v>
      </c>
      <c r="K116" s="134">
        <v>540</v>
      </c>
      <c r="L116" s="134">
        <v>450</v>
      </c>
      <c r="M116" s="134">
        <v>90</v>
      </c>
      <c r="N116" s="134">
        <v>20</v>
      </c>
      <c r="O116" s="134">
        <f t="shared" ref="I116:O116" si="30">O117</f>
        <v>0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/>
      <c r="I117" s="17"/>
      <c r="J117" s="17"/>
      <c r="K117" s="17"/>
      <c r="L117" s="17"/>
      <c r="M117" s="17"/>
      <c r="N117" s="17"/>
      <c r="O117" s="87">
        <f>IF(D117&lt;400,H117+I117*'Factores generales'!$M$41+J117*'Factores generales'!$N$41,I117*'Factores generales'!$M$41+J117*'Factores generales'!$N$41)</f>
        <v>0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v>1047640.0000000001</v>
      </c>
      <c r="I118" s="134">
        <v>110</v>
      </c>
      <c r="J118" s="134">
        <v>30</v>
      </c>
      <c r="K118" s="134">
        <v>20970</v>
      </c>
      <c r="L118" s="134">
        <v>13980</v>
      </c>
      <c r="M118" s="134">
        <v>2800</v>
      </c>
      <c r="N118" s="134">
        <v>1100</v>
      </c>
      <c r="O118" s="134">
        <f t="shared" ref="I118:O118" si="31">O122</f>
        <v>0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/>
      <c r="I119" s="15"/>
      <c r="J119" s="15"/>
      <c r="K119" s="15"/>
      <c r="L119" s="15"/>
      <c r="M119" s="15"/>
      <c r="N119" s="15"/>
      <c r="O119" s="15">
        <f t="shared" ref="I119:O119" si="32">O120+O121</f>
        <v>0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/>
      <c r="I120" s="17"/>
      <c r="J120" s="17"/>
      <c r="K120" s="17"/>
      <c r="L120" s="17"/>
      <c r="M120" s="17"/>
      <c r="N120" s="17"/>
      <c r="O120" s="87">
        <f>IF(D120&lt;400,H120+I120*'Factores generales'!$M$41+J120*'Factores generales'!$N$41,I120*'Factores generales'!$M$41+J120*'Factores generales'!$N$41)</f>
        <v>0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/>
      <c r="I121" s="17"/>
      <c r="J121" s="17"/>
      <c r="K121" s="17"/>
      <c r="L121" s="17"/>
      <c r="M121" s="17"/>
      <c r="N121" s="17"/>
      <c r="O121" s="87">
        <f>IF(D121&lt;400,H121+I121*'Factores generales'!$M$41+J121*'Factores generales'!$N$41,I121*'Factores generales'!$M$41+J121*'Factores generales'!$N$41)</f>
        <v>0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v>1047640.0000000001</v>
      </c>
      <c r="I122" s="15">
        <v>110</v>
      </c>
      <c r="J122" s="15">
        <v>30</v>
      </c>
      <c r="K122" s="15">
        <v>20970</v>
      </c>
      <c r="L122" s="15">
        <v>13980</v>
      </c>
      <c r="M122" s="15">
        <v>2800</v>
      </c>
      <c r="N122" s="15">
        <v>1100</v>
      </c>
      <c r="O122" s="15">
        <f t="shared" ref="I122:O122" si="33">O123+O124</f>
        <v>0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/>
      <c r="I123" s="17"/>
      <c r="J123" s="17"/>
      <c r="K123" s="17"/>
      <c r="L123" s="17"/>
      <c r="M123" s="17"/>
      <c r="N123" s="17"/>
      <c r="O123" s="87">
        <f>IF(D123&lt;400,H123+I123*'Factores generales'!$M$41+J123*'Factores generales'!$N$41,I123*'Factores generales'!$M$41+J123*'Factores generales'!$N$41)</f>
        <v>0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/>
      <c r="I124" s="17"/>
      <c r="J124" s="17"/>
      <c r="K124" s="17"/>
      <c r="L124" s="17"/>
      <c r="M124" s="17"/>
      <c r="N124" s="17"/>
      <c r="O124" s="87">
        <f>IF(D124&lt;400,H124+I124*'Factores generales'!$M$41+J124*'Factores generales'!$N$41,I124*'Factores generales'!$M$41+J124*'Factores generales'!$N$41)</f>
        <v>0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v>1712810</v>
      </c>
      <c r="I125" s="134">
        <v>30</v>
      </c>
      <c r="J125" s="134">
        <v>0</v>
      </c>
      <c r="K125" s="134">
        <v>45800</v>
      </c>
      <c r="L125" s="134">
        <v>60530</v>
      </c>
      <c r="M125" s="134">
        <v>6110</v>
      </c>
      <c r="N125" s="134"/>
      <c r="O125" s="134">
        <f t="shared" ref="H125:O125" si="34">O126+O130</f>
        <v>0</v>
      </c>
    </row>
    <row r="126" spans="1:15" outlineLevel="1" x14ac:dyDescent="0.25">
      <c r="A126" s="10" t="s">
        <v>63</v>
      </c>
      <c r="B126" s="1" t="s">
        <v>64</v>
      </c>
      <c r="H126" s="15"/>
      <c r="I126" s="15"/>
      <c r="J126" s="15"/>
      <c r="K126" s="15"/>
      <c r="L126" s="15"/>
      <c r="M126" s="15"/>
      <c r="N126" s="15"/>
      <c r="O126" s="15">
        <f t="shared" ref="H126:O126" si="35">O127+O128+O129</f>
        <v>0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/>
      <c r="I127" s="17"/>
      <c r="J127" s="17"/>
      <c r="K127" s="17"/>
      <c r="L127" s="17"/>
      <c r="M127" s="17"/>
      <c r="N127" s="17"/>
      <c r="O127" s="87">
        <f>IF(D127&lt;400,H127+I127*'Factores generales'!$M$41+J127*'Factores generales'!$N$41,I127*'Factores generales'!$M$41+J127*'Factores generales'!$N$41)</f>
        <v>0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/>
      <c r="I128" s="17"/>
      <c r="J128" s="17"/>
      <c r="K128" s="17"/>
      <c r="L128" s="17"/>
      <c r="M128" s="17"/>
      <c r="N128" s="17"/>
      <c r="O128" s="87">
        <f>IF(D128&lt;400,H128+I128*'Factores generales'!$M$41+J128*'Factores generales'!$N$41,I128*'Factores generales'!$M$41+J128*'Factores generales'!$N$41)</f>
        <v>0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/>
      <c r="I129" s="17"/>
      <c r="J129" s="17"/>
      <c r="K129" s="17"/>
      <c r="L129" s="17"/>
      <c r="M129" s="17"/>
      <c r="N129" s="17"/>
      <c r="O129" s="87">
        <f>IF(D129&lt;400,H129+I129*'Factores generales'!$M$41+J129*'Factores generales'!$N$41,I129*'Factores generales'!$M$41+J129*'Factores generales'!$N$41)</f>
        <v>0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v>34607070</v>
      </c>
      <c r="I131" s="129">
        <v>7230</v>
      </c>
      <c r="J131" s="129">
        <v>120</v>
      </c>
      <c r="K131" s="129">
        <v>28880</v>
      </c>
      <c r="L131" s="129">
        <v>107580</v>
      </c>
      <c r="M131" s="129">
        <v>6920</v>
      </c>
      <c r="N131" s="129">
        <v>6340</v>
      </c>
      <c r="O131" s="129">
        <f t="shared" ref="H131:O131" si="36">O132+O138+O145</f>
        <v>0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v>4307960</v>
      </c>
      <c r="I132" s="134">
        <v>1870</v>
      </c>
      <c r="J132" s="134">
        <v>20</v>
      </c>
      <c r="K132" s="134">
        <v>3990</v>
      </c>
      <c r="L132" s="134">
        <v>16280.000000000002</v>
      </c>
      <c r="M132" s="134">
        <v>1630</v>
      </c>
      <c r="N132" s="134">
        <v>1760</v>
      </c>
      <c r="O132" s="134">
        <f t="shared" ref="J132:O132" si="37">SUM(O133:O137)</f>
        <v>0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/>
      <c r="I133" s="17"/>
      <c r="J133" s="17"/>
      <c r="K133" s="17"/>
      <c r="L133" s="17"/>
      <c r="M133" s="17"/>
      <c r="N133" s="17"/>
      <c r="O133" s="87">
        <f>IF(D133&lt;400,H133+I133*'Factores generales'!$M$41+J133*'Factores generales'!$N$41,I133*'Factores generales'!$M$41+J133*'Factores generales'!$N$41)</f>
        <v>0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/>
      <c r="I134" s="17"/>
      <c r="J134" s="17"/>
      <c r="K134" s="17"/>
      <c r="L134" s="17"/>
      <c r="M134" s="17"/>
      <c r="N134" s="17"/>
      <c r="O134" s="87">
        <f>IF(D134&lt;400,H134+I134*'Factores generales'!$M$41+J134*'Factores generales'!$N$41,I134*'Factores generales'!$M$41+J134*'Factores generales'!$N$41)</f>
        <v>0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/>
      <c r="I135" s="17"/>
      <c r="J135" s="17"/>
      <c r="K135" s="17"/>
      <c r="L135" s="17"/>
      <c r="M135" s="17"/>
      <c r="N135" s="17"/>
      <c r="O135" s="87">
        <f>IF(D135&lt;400,H135+I135*'Factores generales'!$M$41+J135*'Factores generales'!$N$41,I135*'Factores generales'!$M$41+J135*'Factores generales'!$N$41)</f>
        <v>0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/>
      <c r="I136" s="17"/>
      <c r="J136" s="17"/>
      <c r="K136" s="17"/>
      <c r="L136" s="17"/>
      <c r="M136" s="17"/>
      <c r="N136" s="17"/>
      <c r="O136" s="87">
        <f>IF(D136&lt;400,H136+I136*'Factores generales'!$M$41+J136*'Factores generales'!$N$41,I136*'Factores generales'!$M$41+J136*'Factores generales'!$N$41)</f>
        <v>0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/>
      <c r="I137" s="17"/>
      <c r="J137" s="17"/>
      <c r="K137" s="17"/>
      <c r="L137" s="17"/>
      <c r="M137" s="17"/>
      <c r="N137" s="17"/>
      <c r="O137" s="87">
        <f>IF(D137&lt;400,H137+I137*'Factores generales'!$M$41+J137*'Factores generales'!$N$41,I137*'Factores generales'!$M$41+J137*'Factores generales'!$N$41)</f>
        <v>0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v>26881440</v>
      </c>
      <c r="I138" s="134">
        <v>4870</v>
      </c>
      <c r="J138" s="134">
        <v>70</v>
      </c>
      <c r="K138" s="134">
        <v>24690</v>
      </c>
      <c r="L138" s="134">
        <v>91110</v>
      </c>
      <c r="M138" s="134">
        <v>5270</v>
      </c>
      <c r="N138" s="134">
        <v>2990</v>
      </c>
      <c r="O138" s="134">
        <f t="shared" ref="J138:O138" si="38">SUM(O139:O144)</f>
        <v>0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/>
      <c r="I139" s="17"/>
      <c r="J139" s="17"/>
      <c r="K139" s="17"/>
      <c r="L139" s="17"/>
      <c r="M139" s="17"/>
      <c r="N139" s="17"/>
      <c r="O139" s="87">
        <f>IF(D139&lt;400,H139+I139*'Factores generales'!$M$41+J139*'Factores generales'!$N$41,I139*'Factores generales'!$M$41+J139*'Factores generales'!$N$41)</f>
        <v>0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/>
      <c r="I140" s="17"/>
      <c r="J140" s="17"/>
      <c r="K140" s="17"/>
      <c r="L140" s="17"/>
      <c r="M140" s="17"/>
      <c r="N140" s="17"/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/>
      <c r="I141" s="17"/>
      <c r="J141" s="17"/>
      <c r="K141" s="17"/>
      <c r="L141" s="17"/>
      <c r="M141" s="17"/>
      <c r="N141" s="17"/>
      <c r="O141" s="87">
        <f>IF(D141&lt;400,H141+I141*'Factores generales'!$M$41+J141*'Factores generales'!$N$41,I141*'Factores generales'!$M$41+J141*'Factores generales'!$N$41)</f>
        <v>0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/>
      <c r="I142" s="17"/>
      <c r="J142" s="17"/>
      <c r="K142" s="17"/>
      <c r="L142" s="17"/>
      <c r="M142" s="17"/>
      <c r="N142" s="17"/>
      <c r="O142" s="87">
        <f>IF(D142&lt;400,H142+I142*'Factores generales'!$M$41+J142*'Factores generales'!$N$41,I142*'Factores generales'!$M$41+J142*'Factores generales'!$N$41)</f>
        <v>0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/>
      <c r="I143" s="17"/>
      <c r="J143" s="17"/>
      <c r="K143" s="17"/>
      <c r="L143" s="17"/>
      <c r="M143" s="17"/>
      <c r="N143" s="17"/>
      <c r="O143" s="87">
        <f>IF(D143&lt;400,H143+I143*'Factores generales'!$M$41+J143*'Factores generales'!$N$41,I143*'Factores generales'!$M$41+J143*'Factores generales'!$N$41)</f>
        <v>0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/>
      <c r="I144" s="17"/>
      <c r="J144" s="17"/>
      <c r="K144" s="17"/>
      <c r="L144" s="17"/>
      <c r="M144" s="17"/>
      <c r="N144" s="17"/>
      <c r="O144" s="87">
        <f>IF(D144&lt;400,H144+I144*'Factores generales'!$M$41+J144*'Factores generales'!$N$41,I144*'Factores generales'!$M$41+J144*'Factores generales'!$N$41)</f>
        <v>0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v>3417670</v>
      </c>
      <c r="I145" s="134">
        <v>490</v>
      </c>
      <c r="J145" s="134">
        <v>30</v>
      </c>
      <c r="K145" s="134">
        <v>200</v>
      </c>
      <c r="L145" s="134">
        <v>200</v>
      </c>
      <c r="M145" s="134">
        <v>20</v>
      </c>
      <c r="N145" s="134">
        <v>1600</v>
      </c>
      <c r="O145" s="134">
        <f t="shared" ref="I145:O145" si="39">SUM(O146:O149)</f>
        <v>0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/>
      <c r="I146" s="17"/>
      <c r="J146" s="17"/>
      <c r="K146" s="17"/>
      <c r="L146" s="17"/>
      <c r="M146" s="17"/>
      <c r="N146" s="17"/>
      <c r="O146" s="87">
        <f>IF(D146&lt;400,H146+I146*'Factores generales'!$M$41+J146*'Factores generales'!$N$41,I146*'Factores generales'!$M$41+J146*'Factores generales'!$N$41)</f>
        <v>0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/>
      <c r="I147" s="17"/>
      <c r="J147" s="17"/>
      <c r="K147" s="17"/>
      <c r="L147" s="17"/>
      <c r="M147" s="17"/>
      <c r="N147" s="17"/>
      <c r="O147" s="87">
        <f>IF(D147&lt;400,H147+I147*'Factores generales'!$M$41+J147*'Factores generales'!$N$41,I147*'Factores generales'!$M$41+J147*'Factores generales'!$N$41)</f>
        <v>0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/>
      <c r="I148" s="17"/>
      <c r="J148" s="17"/>
      <c r="K148" s="17"/>
      <c r="L148" s="17"/>
      <c r="M148" s="17"/>
      <c r="N148" s="17"/>
      <c r="O148" s="87">
        <f>IF(D148&lt;400,H148+I148*'Factores generales'!$M$41+J148*'Factores generales'!$N$41,I148*'Factores generales'!$M$41+J148*'Factores generales'!$N$41)</f>
        <v>0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/>
      <c r="I149" s="17"/>
      <c r="J149" s="17"/>
      <c r="K149" s="17"/>
      <c r="L149" s="17"/>
      <c r="M149" s="17"/>
      <c r="N149" s="17"/>
      <c r="O149" s="87">
        <f>IF(D149&lt;400,H149+I149*'Factores generales'!$M$41+J149*'Factores generales'!$N$41,I149*'Factores generales'!$M$41+J149*'Factores generales'!$N$41)</f>
        <v>0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Actividad'!$H147*'FE Sectorial'!$H150*'FE Sectorial'!I150*'FE Sectorial'!P150/1000</f>
        <v>0</v>
      </c>
      <c r="I151" s="134">
        <f>'Datos Actividad'!$H147*'FE Sectorial'!$H150*'FE Sectorial'!J150/1000/1000</f>
        <v>0</v>
      </c>
      <c r="J151" s="134">
        <f>'Datos Actividad'!$H147*'FE Sectorial'!$H150*'FE Sectorial'!K150/1000/1000</f>
        <v>0</v>
      </c>
      <c r="K151" s="134">
        <f>'Datos Actividad'!$H147*'FE Sectorial'!$H150*'FE Sectorial'!L150/1000/1000</f>
        <v>0</v>
      </c>
      <c r="L151" s="134">
        <f>'Datos Actividad'!$H147*'FE Sectorial'!$H150*'FE Sectorial'!M150/1000/1000</f>
        <v>0</v>
      </c>
      <c r="M151" s="134">
        <f>'Datos Actividad'!$H147*'FE Sectorial'!$H150*'FE Sectorial'!N150/1000/1000</f>
        <v>0</v>
      </c>
      <c r="N151" s="134">
        <f>'Datos Actividad'!$H147*'FE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Actividad'!$H148*'FE Sectorial'!$H151*'FE Sectorial'!I151*'FE Sectorial'!P151/1000</f>
        <v>0</v>
      </c>
      <c r="I152" s="134">
        <f>'Datos Actividad'!$H148*'FE Sectorial'!$H151*'FE Sectorial'!J151/1000/1000</f>
        <v>0</v>
      </c>
      <c r="J152" s="134">
        <f>'Datos Actividad'!$H148*'FE Sectorial'!$H151*'FE Sectorial'!K151/1000/1000</f>
        <v>0</v>
      </c>
      <c r="K152" s="134">
        <f>'Datos Actividad'!$H148*'FE Sectorial'!$H151*'FE Sectorial'!L151/1000/1000</f>
        <v>0</v>
      </c>
      <c r="L152" s="134">
        <f>'Datos Actividad'!$H148*'FE Sectorial'!$H151*'FE Sectorial'!M151/1000/1000</f>
        <v>0</v>
      </c>
      <c r="M152" s="134">
        <f>'Datos Actividad'!$H148*'FE Sectorial'!$H151*'FE Sectorial'!N151/1000/1000</f>
        <v>0</v>
      </c>
      <c r="N152" s="134">
        <f>'Datos Actividad'!$H148*'FE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v>4482850</v>
      </c>
      <c r="I153" s="124">
        <v>287010</v>
      </c>
      <c r="J153" s="124">
        <v>30</v>
      </c>
      <c r="K153" s="124">
        <v>0</v>
      </c>
      <c r="L153" s="124">
        <v>0</v>
      </c>
      <c r="M153" s="124">
        <v>94790</v>
      </c>
      <c r="N153" s="124"/>
      <c r="O153" s="124">
        <v>0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v>620</v>
      </c>
      <c r="J154" s="129">
        <f t="shared" ref="I154:O154" si="41">J155+J166+J167</f>
        <v>0</v>
      </c>
      <c r="K154" s="129">
        <f t="shared" si="41"/>
        <v>0</v>
      </c>
      <c r="L154" s="129">
        <f t="shared" si="41"/>
        <v>0</v>
      </c>
      <c r="M154" s="129">
        <f t="shared" si="41"/>
        <v>0</v>
      </c>
      <c r="N154" s="129">
        <f t="shared" si="41"/>
        <v>0</v>
      </c>
      <c r="O154" s="129">
        <f t="shared" si="41"/>
        <v>0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v>620</v>
      </c>
      <c r="J155" s="134">
        <f t="shared" ref="I155:O155" si="42">SUM(J156:J165)</f>
        <v>0</v>
      </c>
      <c r="K155" s="134">
        <f t="shared" si="42"/>
        <v>0</v>
      </c>
      <c r="L155" s="134">
        <f t="shared" si="42"/>
        <v>0</v>
      </c>
      <c r="M155" s="134">
        <f t="shared" si="42"/>
        <v>0</v>
      </c>
      <c r="N155" s="134">
        <f t="shared" si="42"/>
        <v>0</v>
      </c>
      <c r="O155" s="134">
        <f t="shared" si="42"/>
        <v>0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/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0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/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0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v>4482850</v>
      </c>
      <c r="I168" s="129">
        <v>286380</v>
      </c>
      <c r="J168" s="129">
        <v>30</v>
      </c>
      <c r="K168" s="129">
        <v>0</v>
      </c>
      <c r="L168" s="129">
        <v>0</v>
      </c>
      <c r="M168" s="129">
        <v>94790</v>
      </c>
      <c r="N168" s="129"/>
      <c r="O168" s="129">
        <f t="shared" ref="I168:O168" si="43">O169+O188+O204</f>
        <v>0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v>1481670</v>
      </c>
      <c r="I169" s="134">
        <v>36310</v>
      </c>
      <c r="J169" s="134">
        <v>20</v>
      </c>
      <c r="K169" s="134">
        <v>0</v>
      </c>
      <c r="L169" s="134">
        <v>0</v>
      </c>
      <c r="M169" s="134">
        <v>68080</v>
      </c>
      <c r="N169" s="134"/>
      <c r="O169" s="134">
        <f t="shared" ref="I169:O169" si="44">SUM(O170:O187)</f>
        <v>0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/>
      <c r="I171" s="92"/>
      <c r="J171" s="92"/>
      <c r="K171" s="92"/>
      <c r="L171" s="92"/>
      <c r="M171" s="92"/>
      <c r="N171" s="92"/>
      <c r="O171" s="87">
        <f>IF(D171&lt;400,H171+I171*'Factores generales'!$M$41+J171*'Factores generales'!$N$41,I171*'Factores generales'!$M$41+J171*'Factores generales'!$N$41)</f>
        <v>0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/>
      <c r="I172" s="92"/>
      <c r="J172" s="92"/>
      <c r="K172" s="92"/>
      <c r="L172" s="92"/>
      <c r="M172" s="92"/>
      <c r="N172" s="92"/>
      <c r="O172" s="87">
        <f>IF(D172&lt;400,H172+I172*'Factores generales'!$M$41+J172*'Factores generales'!$N$41,I172*'Factores generales'!$M$41+J172*'Factores generales'!$N$41)</f>
        <v>0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/>
      <c r="I173" s="92"/>
      <c r="J173" s="92"/>
      <c r="K173" s="92"/>
      <c r="L173" s="92"/>
      <c r="M173" s="92"/>
      <c r="N173" s="92"/>
      <c r="O173" s="87">
        <f>IF(D173&lt;400,H173+I173*'Factores generales'!$M$41+J173*'Factores generales'!$N$41,I173*'Factores generales'!$M$41+J173*'Factores generales'!$N$41)</f>
        <v>0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/>
      <c r="I175" s="92"/>
      <c r="J175" s="92"/>
      <c r="K175" s="92"/>
      <c r="L175" s="92"/>
      <c r="M175" s="92"/>
      <c r="N175" s="92"/>
      <c r="O175" s="87">
        <f>IF(D175&lt;400,H175+I175*'Factores generales'!$M$41+J175*'Factores generales'!$N$41,I175*'Factores generales'!$M$41+J175*'Factores generales'!$N$41)</f>
        <v>0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/>
      <c r="I177" s="92"/>
      <c r="J177" s="92"/>
      <c r="K177" s="92"/>
      <c r="L177" s="92"/>
      <c r="M177" s="92"/>
      <c r="N177" s="92"/>
      <c r="O177" s="87">
        <f>IF(D177&lt;400,H177+I177*'Factores generales'!$M$41+J177*'Factores generales'!$N$41,I177*'Factores generales'!$M$41+J177*'Factores generales'!$N$41)</f>
        <v>0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/>
      <c r="I178" s="92"/>
      <c r="J178" s="92"/>
      <c r="K178" s="92"/>
      <c r="L178" s="92"/>
      <c r="M178" s="92"/>
      <c r="N178" s="92"/>
      <c r="O178" s="87">
        <f>IF(D178&lt;400,H178+I178*'Factores generales'!$M$41+J178*'Factores generales'!$N$41,I178*'Factores generales'!$M$41+J178*'Factores generales'!$N$41)</f>
        <v>0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/>
      <c r="I181" s="92"/>
      <c r="J181" s="92"/>
      <c r="K181" s="92"/>
      <c r="L181" s="92"/>
      <c r="M181" s="92"/>
      <c r="N181" s="92"/>
      <c r="O181" s="87">
        <f>IF(D181&lt;400,H181+I181*'Factores generales'!$M$41+J181*'Factores generales'!$N$41,I181*'Factores generales'!$M$41+J181*'Factores generales'!$N$41)</f>
        <v>0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/>
      <c r="I183" s="92"/>
      <c r="J183" s="92"/>
      <c r="K183" s="92"/>
      <c r="L183" s="92"/>
      <c r="M183" s="92"/>
      <c r="N183" s="92"/>
      <c r="O183" s="87">
        <f>IF(D183&lt;400,H183+I183*'Factores generales'!$M$41+J183*'Factores generales'!$N$41,I183*'Factores generales'!$M$41+J183*'Factores generales'!$N$41)</f>
        <v>0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/>
      <c r="I185" s="92"/>
      <c r="J185" s="92"/>
      <c r="K185" s="92"/>
      <c r="L185" s="92"/>
      <c r="M185" s="92"/>
      <c r="N185" s="92"/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/>
      <c r="I186" s="92"/>
      <c r="J186" s="92"/>
      <c r="K186" s="92"/>
      <c r="L186" s="92"/>
      <c r="M186" s="92"/>
      <c r="N186" s="92"/>
      <c r="O186" s="87">
        <f>IF(D186&lt;400,H186+I186*'Factores generales'!$M$41+J186*'Factores generales'!$N$41,I186*'Factores generales'!$M$41+J186*'Factores generales'!$N$41)</f>
        <v>0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v>3001180</v>
      </c>
      <c r="I188" s="134">
        <v>250070</v>
      </c>
      <c r="J188" s="134">
        <v>0</v>
      </c>
      <c r="K188" s="134">
        <v>0</v>
      </c>
      <c r="L188" s="134">
        <v>0</v>
      </c>
      <c r="M188" s="134">
        <v>26700</v>
      </c>
      <c r="N188" s="134">
        <f t="shared" ref="N188:O188" si="45">SUM(N189:N203)</f>
        <v>0</v>
      </c>
      <c r="O188" s="134">
        <f t="shared" si="45"/>
        <v>0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/>
      <c r="I191" s="92"/>
      <c r="J191" s="92"/>
      <c r="K191" s="92"/>
      <c r="L191" s="92"/>
      <c r="M191" s="92"/>
      <c r="N191" s="92"/>
      <c r="O191" s="87">
        <f>IF(D191&lt;400,H191+I191*'Factores generales'!$M$41+J191*'Factores generales'!$N$41,I191*'Factores generales'!$M$41+J191*'Factores generales'!$N$41)</f>
        <v>0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/>
      <c r="I193" s="92"/>
      <c r="J193" s="92"/>
      <c r="K193" s="92"/>
      <c r="L193" s="92"/>
      <c r="M193" s="92"/>
      <c r="N193" s="92"/>
      <c r="O193" s="87">
        <f>IF(D193&lt;400,H193+I193*'Factores generales'!$M$41+J193*'Factores generales'!$N$41,I193*'Factores generales'!$M$41+J193*'Factores generales'!$N$41)</f>
        <v>0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/>
      <c r="I196" s="92"/>
      <c r="J196" s="92"/>
      <c r="K196" s="92"/>
      <c r="L196" s="92"/>
      <c r="M196" s="92"/>
      <c r="N196" s="92"/>
      <c r="O196" s="87">
        <f>IF(D196&lt;400,H196+I196*'Factores generales'!$M$41+J196*'Factores generales'!$N$41,I196*'Factores generales'!$M$41+J196*'Factores generales'!$N$41)</f>
        <v>0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/>
      <c r="I198" s="92"/>
      <c r="J198" s="92"/>
      <c r="K198" s="92"/>
      <c r="L198" s="92"/>
      <c r="M198" s="92"/>
      <c r="N198" s="92"/>
      <c r="O198" s="87">
        <f>IF(D198&lt;400,H198+I198*'Factores generales'!$M$41+J198*'Factores generales'!$N$41,I198*'Factores generales'!$M$41+J198*'Factores generales'!$N$41)</f>
        <v>0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/>
      <c r="I201" s="92"/>
      <c r="J201" s="92"/>
      <c r="K201" s="92"/>
      <c r="L201" s="92"/>
      <c r="M201" s="92"/>
      <c r="N201" s="92"/>
      <c r="O201" s="87">
        <f>IF(D201&lt;400,H201+I201*'Factores generales'!$M$41+J201*'Factores generales'!$N$41,I201*'Factores generales'!$M$41+J201*'Factores generales'!$N$41)</f>
        <v>0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/>
      <c r="I203" s="92"/>
      <c r="J203" s="92"/>
      <c r="K203" s="92"/>
      <c r="L203" s="92"/>
      <c r="M203" s="92"/>
      <c r="N203" s="92"/>
      <c r="O203" s="87">
        <f>IF(D203&lt;400,H203+I203*'Factores generales'!$M$41+J203*'Factores generales'!$N$41,I203*'Factores generales'!$M$41+J203*'Factores generales'!$N$41)</f>
        <v>0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/>
      <c r="I204" s="134"/>
      <c r="J204" s="134"/>
      <c r="K204" s="134"/>
      <c r="L204" s="134"/>
      <c r="M204" s="134"/>
      <c r="N204" s="134"/>
      <c r="O204" s="134">
        <f t="shared" ref="I204:O204" si="46">SUM(O205:O221)</f>
        <v>0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/>
      <c r="I207" s="92"/>
      <c r="J207" s="92"/>
      <c r="K207" s="92"/>
      <c r="L207" s="92"/>
      <c r="M207" s="92"/>
      <c r="N207" s="92"/>
      <c r="O207" s="87">
        <f>IF(D207&lt;400,H207+I207*'Factores generales'!$M$41+J207*'Factores generales'!$N$41,I207*'Factores generales'!$M$41+J207*'Factores generales'!$N$41)</f>
        <v>0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/>
      <c r="I209" s="92"/>
      <c r="J209" s="92"/>
      <c r="K209" s="92"/>
      <c r="L209" s="92"/>
      <c r="M209" s="92"/>
      <c r="N209" s="92"/>
      <c r="O209" s="87">
        <f>IF(D209&lt;400,H209+I209*'Factores generales'!$M$41+J209*'Factores generales'!$N$41,I209*'Factores generales'!$M$41+J209*'Factores generales'!$N$41)</f>
        <v>0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/>
      <c r="I213" s="92"/>
      <c r="J213" s="92"/>
      <c r="K213" s="92"/>
      <c r="L213" s="92"/>
      <c r="M213" s="92"/>
      <c r="N213" s="92"/>
      <c r="O213" s="87">
        <f>IF(D213&lt;400,H213+I213*'Factores generales'!$M$41+J213*'Factores generales'!$N$41,I213*'Factores generales'!$M$41+J213*'Factores generales'!$N$41)</f>
        <v>0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/>
      <c r="I215" s="92"/>
      <c r="J215" s="92"/>
      <c r="K215" s="92"/>
      <c r="L215" s="92"/>
      <c r="M215" s="92"/>
      <c r="N215" s="92"/>
      <c r="O215" s="87">
        <f>IF(D215&lt;400,H215+I215*'Factores generales'!$M$41+J215*'Factores generales'!$N$41,I215*'Factores generales'!$M$41+J215*'Factores generales'!$N$41)</f>
        <v>0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/>
      <c r="I218" s="92"/>
      <c r="J218" s="92"/>
      <c r="K218" s="92"/>
      <c r="L218" s="92"/>
      <c r="M218" s="92"/>
      <c r="N218" s="92"/>
      <c r="O218" s="87">
        <f>IF(D218&lt;400,H218+I218*'Factores generales'!$M$41+J218*'Factores generales'!$N$41,I218*'Factores generales'!$M$41+J218*'Factores generales'!$N$41)</f>
        <v>0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/>
      <c r="I220" s="92"/>
      <c r="J220" s="92"/>
      <c r="K220" s="92"/>
      <c r="L220" s="92"/>
      <c r="M220" s="92"/>
      <c r="N220" s="92"/>
      <c r="O220" s="87">
        <f>IF(D220&lt;400,H220+I220*'Factores generales'!$M$41+J220*'Factores generales'!$N$41,I220*'Factores generales'!$M$41+J220*'Factores generales'!$N$41)</f>
        <v>0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6" t="s">
        <v>262</v>
      </c>
      <c r="I223" s="177"/>
      <c r="J223" s="177"/>
      <c r="K223" s="177"/>
      <c r="L223" s="177"/>
      <c r="M223" s="178"/>
      <c r="N223" s="107">
        <f>H14+H53+H60+H61+H62+H67+H68+H69+H75+H84+H85+H112+H113+H133+H139+H140+H144</f>
        <v>0</v>
      </c>
      <c r="O223" s="23" t="s">
        <v>237</v>
      </c>
    </row>
    <row r="224" spans="1:15" ht="18" x14ac:dyDescent="0.25">
      <c r="H224" s="176" t="s">
        <v>273</v>
      </c>
      <c r="I224" s="177"/>
      <c r="J224" s="177"/>
      <c r="K224" s="177"/>
      <c r="L224" s="177"/>
      <c r="M224" s="178"/>
      <c r="N224" s="107">
        <f>N225+N226</f>
        <v>0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0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0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A6FB-EBAC-4A77-9C79-11DB12D92804}">
  <dimension ref="A1:O239"/>
  <sheetViews>
    <sheetView topLeftCell="A193" zoomScale="85" zoomScaleNormal="85" workbookViewId="0">
      <selection sqref="A1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70" t="s">
        <v>217</v>
      </c>
      <c r="I3" s="170" t="s">
        <v>218</v>
      </c>
      <c r="J3" s="170" t="s">
        <v>219</v>
      </c>
      <c r="K3" s="170" t="s">
        <v>232</v>
      </c>
      <c r="L3" s="170" t="s">
        <v>233</v>
      </c>
      <c r="M3" s="170" t="s">
        <v>234</v>
      </c>
      <c r="N3" s="170" t="s">
        <v>235</v>
      </c>
      <c r="O3" s="170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70" t="s">
        <v>237</v>
      </c>
      <c r="I4" s="170" t="s">
        <v>238</v>
      </c>
      <c r="J4" s="170" t="s">
        <v>239</v>
      </c>
      <c r="K4" s="170" t="s">
        <v>240</v>
      </c>
      <c r="L4" s="170" t="s">
        <v>241</v>
      </c>
      <c r="M4" s="170" t="s">
        <v>242</v>
      </c>
      <c r="N4" s="170" t="s">
        <v>243</v>
      </c>
      <c r="O4" s="170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v>184399021</v>
      </c>
      <c r="I5" s="138">
        <v>351602</v>
      </c>
      <c r="J5" s="138">
        <v>5466000</v>
      </c>
      <c r="K5" s="138">
        <v>908264</v>
      </c>
      <c r="L5" s="138">
        <v>1794029</v>
      </c>
      <c r="M5" s="138">
        <v>629525</v>
      </c>
      <c r="N5" s="138">
        <v>80901</v>
      </c>
      <c r="O5" s="138">
        <v>193477196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v>180100748</v>
      </c>
      <c r="I6" s="124">
        <v>24370</v>
      </c>
      <c r="J6" s="124">
        <v>5440</v>
      </c>
      <c r="K6" s="124">
        <v>908262</v>
      </c>
      <c r="L6" s="124">
        <v>1794027</v>
      </c>
      <c r="M6" s="124">
        <v>520990</v>
      </c>
      <c r="N6" s="124">
        <v>80877</v>
      </c>
      <c r="O6" s="124">
        <v>182298931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v>57831729</v>
      </c>
      <c r="I7" s="129">
        <v>5564</v>
      </c>
      <c r="J7" s="129">
        <v>1263</v>
      </c>
      <c r="K7" s="129">
        <v>208357</v>
      </c>
      <c r="L7" s="129">
        <v>38045</v>
      </c>
      <c r="M7" s="129">
        <v>9039</v>
      </c>
      <c r="N7" s="129">
        <v>55409</v>
      </c>
      <c r="O7" s="129">
        <v>58340148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v>42373205</v>
      </c>
      <c r="I8" s="134">
        <v>5248</v>
      </c>
      <c r="J8" s="134">
        <v>1222</v>
      </c>
      <c r="K8" s="134">
        <v>165556</v>
      </c>
      <c r="L8" s="134">
        <v>31150</v>
      </c>
      <c r="M8" s="134">
        <v>7427</v>
      </c>
      <c r="N8" s="134">
        <v>48901</v>
      </c>
      <c r="O8" s="134">
        <v>42862294</v>
      </c>
    </row>
    <row r="9" spans="1:15" outlineLevel="1" x14ac:dyDescent="0.25">
      <c r="A9" s="10" t="s">
        <v>104</v>
      </c>
      <c r="B9" s="1" t="s">
        <v>105</v>
      </c>
      <c r="H9" s="93">
        <v>42373205</v>
      </c>
      <c r="I9" s="93">
        <v>5248</v>
      </c>
      <c r="J9" s="93">
        <v>1222</v>
      </c>
      <c r="K9" s="93">
        <v>165556</v>
      </c>
      <c r="L9" s="93">
        <v>31150</v>
      </c>
      <c r="M9" s="93">
        <v>7427</v>
      </c>
      <c r="N9" s="93">
        <v>48901</v>
      </c>
      <c r="O9" s="93">
        <v>42862294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/>
      <c r="I10" s="92"/>
      <c r="J10" s="92"/>
      <c r="K10" s="92"/>
      <c r="L10" s="92"/>
      <c r="M10" s="92"/>
      <c r="N10" s="92"/>
      <c r="O10" s="92"/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/>
      <c r="I11" s="17"/>
      <c r="J11" s="17"/>
      <c r="K11" s="17"/>
      <c r="L11" s="17"/>
      <c r="M11" s="17"/>
      <c r="N11" s="17"/>
      <c r="O11" s="17"/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/>
      <c r="I12" s="92"/>
      <c r="J12" s="92"/>
      <c r="K12" s="92"/>
      <c r="L12" s="92"/>
      <c r="M12" s="92"/>
      <c r="N12" s="92"/>
      <c r="O12" s="92"/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/>
      <c r="I13" s="17"/>
      <c r="J13" s="17"/>
      <c r="K13" s="17"/>
      <c r="L13" s="17"/>
      <c r="M13" s="17"/>
      <c r="N13" s="17"/>
      <c r="O13" s="17"/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/>
      <c r="I14" s="147"/>
      <c r="J14" s="147"/>
      <c r="K14" s="147"/>
      <c r="L14" s="147"/>
      <c r="M14" s="147"/>
      <c r="N14" s="147"/>
      <c r="O14" s="92"/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v>5375879</v>
      </c>
      <c r="I17" s="134">
        <v>129</v>
      </c>
      <c r="J17" s="134">
        <v>20</v>
      </c>
      <c r="K17" s="134">
        <v>15793</v>
      </c>
      <c r="L17" s="134">
        <v>3365</v>
      </c>
      <c r="M17" s="134">
        <v>723</v>
      </c>
      <c r="N17" s="134">
        <v>2896</v>
      </c>
      <c r="O17" s="134">
        <v>5384704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/>
      <c r="I18" s="17"/>
      <c r="J18" s="17"/>
      <c r="K18" s="17"/>
      <c r="L18" s="17"/>
      <c r="M18" s="17"/>
      <c r="N18" s="17"/>
      <c r="O18" s="87"/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/>
      <c r="I19" s="17"/>
      <c r="J19" s="17"/>
      <c r="K19" s="17"/>
      <c r="L19" s="17"/>
      <c r="M19" s="17"/>
      <c r="N19" s="17"/>
      <c r="O19" s="87"/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/>
      <c r="I20" s="17"/>
      <c r="J20" s="17"/>
      <c r="K20" s="17"/>
      <c r="L20" s="17"/>
      <c r="M20" s="17"/>
      <c r="N20" s="17"/>
      <c r="O20" s="87"/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/>
      <c r="I21" s="17"/>
      <c r="J21" s="17"/>
      <c r="K21" s="17"/>
      <c r="L21" s="17"/>
      <c r="M21" s="17"/>
      <c r="N21" s="17"/>
      <c r="O21" s="87"/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/>
      <c r="I22" s="17"/>
      <c r="J22" s="17"/>
      <c r="K22" s="17"/>
      <c r="L22" s="17"/>
      <c r="M22" s="17"/>
      <c r="N22" s="17"/>
      <c r="O22" s="87"/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/>
      <c r="I23" s="17"/>
      <c r="J23" s="17"/>
      <c r="K23" s="17"/>
      <c r="L23" s="17"/>
      <c r="M23" s="17"/>
      <c r="N23" s="17"/>
      <c r="O23" s="87"/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/>
      <c r="I24" s="17"/>
      <c r="J24" s="17"/>
      <c r="K24" s="17"/>
      <c r="L24" s="17"/>
      <c r="M24" s="17"/>
      <c r="N24" s="17"/>
      <c r="O24" s="87"/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/>
      <c r="I25" s="17"/>
      <c r="J25" s="17"/>
      <c r="K25" s="17"/>
      <c r="L25" s="17"/>
      <c r="M25" s="17"/>
      <c r="N25" s="17"/>
      <c r="O25" s="87"/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v>10082645</v>
      </c>
      <c r="I26" s="134">
        <v>188</v>
      </c>
      <c r="J26" s="134">
        <v>21</v>
      </c>
      <c r="K26" s="134">
        <v>27008</v>
      </c>
      <c r="L26" s="134">
        <v>3530</v>
      </c>
      <c r="M26" s="134">
        <v>889</v>
      </c>
      <c r="N26" s="134">
        <v>3611</v>
      </c>
      <c r="O26" s="134">
        <v>10093149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v>10082645</v>
      </c>
      <c r="I28" s="15">
        <v>188</v>
      </c>
      <c r="J28" s="15">
        <v>21</v>
      </c>
      <c r="K28" s="15">
        <v>27008</v>
      </c>
      <c r="L28" s="15">
        <v>3530</v>
      </c>
      <c r="M28" s="15">
        <v>889</v>
      </c>
      <c r="N28" s="15">
        <v>3611</v>
      </c>
      <c r="O28" s="15">
        <v>10093149</v>
      </c>
    </row>
    <row r="29" spans="1:15" outlineLevel="1" x14ac:dyDescent="0.25">
      <c r="B29" s="1" t="s">
        <v>7</v>
      </c>
      <c r="G29" s="1"/>
      <c r="H29" s="95"/>
      <c r="I29" s="95"/>
      <c r="J29" s="95"/>
      <c r="K29" s="95"/>
      <c r="L29" s="95"/>
      <c r="M29" s="95"/>
      <c r="N29" s="95"/>
      <c r="O29" s="95"/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/>
      <c r="I30" s="17"/>
      <c r="J30" s="17"/>
      <c r="K30" s="17"/>
      <c r="L30" s="17"/>
      <c r="M30" s="17"/>
      <c r="N30" s="17"/>
      <c r="O30" s="87"/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/>
      <c r="I31" s="17"/>
      <c r="J31" s="17"/>
      <c r="K31" s="17"/>
      <c r="L31" s="17"/>
      <c r="M31" s="17"/>
      <c r="N31" s="17"/>
      <c r="O31" s="87"/>
    </row>
    <row r="32" spans="1:15" outlineLevel="1" x14ac:dyDescent="0.25">
      <c r="B32" s="1" t="s">
        <v>6</v>
      </c>
      <c r="G32" s="1"/>
      <c r="H32" s="17"/>
      <c r="I32" s="17"/>
      <c r="J32" s="17"/>
      <c r="K32" s="17"/>
      <c r="L32" s="17"/>
      <c r="M32" s="17"/>
      <c r="N32" s="17"/>
      <c r="O32" s="17"/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/>
      <c r="I33" s="17"/>
      <c r="J33" s="17"/>
      <c r="K33" s="17"/>
      <c r="L33" s="17"/>
      <c r="M33" s="17"/>
      <c r="N33" s="17"/>
      <c r="O33" s="87"/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/>
      <c r="I34" s="17"/>
      <c r="J34" s="17"/>
      <c r="K34" s="17"/>
      <c r="L34" s="17"/>
      <c r="M34" s="17"/>
      <c r="N34" s="17"/>
      <c r="O34" s="87"/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/>
      <c r="I35" s="17"/>
      <c r="J35" s="17"/>
      <c r="K35" s="17"/>
      <c r="L35" s="17"/>
      <c r="M35" s="17"/>
      <c r="N35" s="17"/>
      <c r="O35" s="87"/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v>20874071</v>
      </c>
      <c r="I36" s="129">
        <v>446</v>
      </c>
      <c r="J36" s="129">
        <v>90</v>
      </c>
      <c r="K36" s="129">
        <v>50545</v>
      </c>
      <c r="L36" s="129">
        <v>22650</v>
      </c>
      <c r="M36" s="129">
        <v>2036</v>
      </c>
      <c r="N36" s="129">
        <v>1858</v>
      </c>
      <c r="O36" s="129">
        <v>20911316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v>8525264</v>
      </c>
      <c r="I37" s="134">
        <v>108</v>
      </c>
      <c r="J37" s="134">
        <v>33</v>
      </c>
      <c r="K37" s="134">
        <v>17063</v>
      </c>
      <c r="L37" s="134">
        <v>5423</v>
      </c>
      <c r="M37" s="134">
        <v>792</v>
      </c>
      <c r="N37" s="134">
        <v>42</v>
      </c>
      <c r="O37" s="134">
        <v>8537865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/>
      <c r="I38" s="17"/>
      <c r="J38" s="17"/>
      <c r="K38" s="17"/>
      <c r="L38" s="17"/>
      <c r="M38" s="17"/>
      <c r="N38" s="17"/>
      <c r="O38" s="87"/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/>
      <c r="I39" s="17"/>
      <c r="J39" s="17"/>
      <c r="K39" s="17"/>
      <c r="L39" s="17"/>
      <c r="M39" s="17"/>
      <c r="N39" s="17"/>
      <c r="O39" s="87"/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/>
      <c r="I40" s="17"/>
      <c r="J40" s="17"/>
      <c r="K40" s="17"/>
      <c r="L40" s="17"/>
      <c r="M40" s="17"/>
      <c r="N40" s="17"/>
      <c r="O40" s="87"/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/>
      <c r="I41" s="17"/>
      <c r="J41" s="17"/>
      <c r="K41" s="17"/>
      <c r="L41" s="17"/>
      <c r="M41" s="17"/>
      <c r="N41" s="17"/>
      <c r="O41" s="87"/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/>
      <c r="I42" s="17"/>
      <c r="J42" s="17"/>
      <c r="K42" s="17"/>
      <c r="L42" s="17"/>
      <c r="M42" s="17"/>
      <c r="N42" s="17"/>
      <c r="O42" s="87"/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/>
      <c r="I43" s="17"/>
      <c r="J43" s="17"/>
      <c r="K43" s="17"/>
      <c r="L43" s="17"/>
      <c r="M43" s="17"/>
      <c r="N43" s="17"/>
      <c r="O43" s="87"/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/>
      <c r="I44" s="17"/>
      <c r="J44" s="17"/>
      <c r="K44" s="17"/>
      <c r="L44" s="17"/>
      <c r="M44" s="17"/>
      <c r="N44" s="17"/>
      <c r="O44" s="87"/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v>442369</v>
      </c>
      <c r="I45" s="134">
        <v>8</v>
      </c>
      <c r="J45" s="134">
        <v>1</v>
      </c>
      <c r="K45" s="134">
        <v>1183</v>
      </c>
      <c r="L45" s="134">
        <v>237</v>
      </c>
      <c r="M45" s="134">
        <v>39</v>
      </c>
      <c r="N45" s="134">
        <v>0</v>
      </c>
      <c r="O45" s="134">
        <v>442779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/>
      <c r="I46" s="17"/>
      <c r="J46" s="17"/>
      <c r="K46" s="17"/>
      <c r="L46" s="17"/>
      <c r="M46" s="17"/>
      <c r="N46" s="17"/>
      <c r="O46" s="87"/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v>1182991</v>
      </c>
      <c r="I47" s="134">
        <v>21</v>
      </c>
      <c r="J47" s="134">
        <v>2</v>
      </c>
      <c r="K47" s="134">
        <v>3156</v>
      </c>
      <c r="L47" s="134">
        <v>630</v>
      </c>
      <c r="M47" s="134">
        <v>105</v>
      </c>
      <c r="N47" s="134">
        <v>11</v>
      </c>
      <c r="O47" s="134">
        <v>1184094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/>
      <c r="I48" s="17"/>
      <c r="J48" s="17"/>
      <c r="K48" s="17"/>
      <c r="L48" s="17"/>
      <c r="M48" s="17"/>
      <c r="N48" s="17"/>
      <c r="O48" s="87"/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/>
      <c r="I49" s="17"/>
      <c r="J49" s="17"/>
      <c r="K49" s="17"/>
      <c r="L49" s="17"/>
      <c r="M49" s="17"/>
      <c r="N49" s="17"/>
      <c r="O49" s="87"/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/>
      <c r="I50" s="17"/>
      <c r="J50" s="17"/>
      <c r="K50" s="17"/>
      <c r="L50" s="17"/>
      <c r="M50" s="17"/>
      <c r="N50" s="17"/>
      <c r="O50" s="87"/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/>
      <c r="I51" s="17"/>
      <c r="J51" s="17"/>
      <c r="K51" s="17"/>
      <c r="L51" s="17"/>
      <c r="M51" s="17"/>
      <c r="N51" s="17"/>
      <c r="O51" s="87"/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/>
      <c r="I52" s="17"/>
      <c r="J52" s="17"/>
      <c r="K52" s="17"/>
      <c r="L52" s="17"/>
      <c r="M52" s="17"/>
      <c r="N52" s="17"/>
      <c r="O52" s="87"/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/>
      <c r="I53" s="17"/>
      <c r="J53" s="17"/>
      <c r="K53" s="17"/>
      <c r="L53" s="17"/>
      <c r="M53" s="17"/>
      <c r="N53" s="17"/>
      <c r="O53" s="87"/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/>
      <c r="I54" s="17"/>
      <c r="J54" s="17"/>
      <c r="K54" s="17"/>
      <c r="L54" s="17"/>
      <c r="M54" s="17"/>
      <c r="N54" s="17"/>
      <c r="O54" s="87"/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/>
      <c r="I55" s="17"/>
      <c r="J55" s="17"/>
      <c r="K55" s="17"/>
      <c r="L55" s="17"/>
      <c r="M55" s="17"/>
      <c r="N55" s="17"/>
      <c r="O55" s="87"/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v>880616</v>
      </c>
      <c r="I56" s="134">
        <v>103</v>
      </c>
      <c r="J56" s="134">
        <v>24</v>
      </c>
      <c r="K56" s="134">
        <v>2998</v>
      </c>
      <c r="L56" s="134">
        <v>9995</v>
      </c>
      <c r="M56" s="134">
        <v>210</v>
      </c>
      <c r="N56" s="134">
        <v>0</v>
      </c>
      <c r="O56" s="134">
        <v>890360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/>
      <c r="I57" s="17"/>
      <c r="J57" s="17"/>
      <c r="K57" s="17"/>
      <c r="L57" s="17"/>
      <c r="M57" s="17"/>
      <c r="N57" s="17"/>
      <c r="O57" s="87"/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/>
      <c r="I58" s="17"/>
      <c r="J58" s="17"/>
      <c r="K58" s="17"/>
      <c r="L58" s="17"/>
      <c r="M58" s="17"/>
      <c r="N58" s="17"/>
      <c r="O58" s="87"/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/>
      <c r="I59" s="17"/>
      <c r="J59" s="17"/>
      <c r="K59" s="17"/>
      <c r="L59" s="17"/>
      <c r="M59" s="17"/>
      <c r="N59" s="17"/>
      <c r="O59" s="87"/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/>
      <c r="I60" s="17"/>
      <c r="J60" s="17"/>
      <c r="K60" s="17"/>
      <c r="L60" s="17"/>
      <c r="M60" s="17"/>
      <c r="N60" s="17"/>
      <c r="O60" s="87"/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/>
      <c r="I61" s="17"/>
      <c r="J61" s="17"/>
      <c r="K61" s="17"/>
      <c r="L61" s="17"/>
      <c r="M61" s="17"/>
      <c r="N61" s="17"/>
      <c r="O61" s="87"/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/>
      <c r="I62" s="17"/>
      <c r="J62" s="17"/>
      <c r="K62" s="17"/>
      <c r="L62" s="17"/>
      <c r="M62" s="17"/>
      <c r="N62" s="17"/>
      <c r="O62" s="87"/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v>3327554</v>
      </c>
      <c r="I63" s="134">
        <v>70</v>
      </c>
      <c r="J63" s="134">
        <v>8</v>
      </c>
      <c r="K63" s="134">
        <v>8839</v>
      </c>
      <c r="L63" s="134">
        <v>3095</v>
      </c>
      <c r="M63" s="134">
        <v>309</v>
      </c>
      <c r="N63" s="134">
        <v>78</v>
      </c>
      <c r="O63" s="134">
        <v>3331000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/>
      <c r="I64" s="17"/>
      <c r="J64" s="17"/>
      <c r="K64" s="17"/>
      <c r="L64" s="17"/>
      <c r="M64" s="17"/>
      <c r="N64" s="17"/>
      <c r="O64" s="87"/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/>
      <c r="I65" s="17"/>
      <c r="J65" s="17"/>
      <c r="K65" s="17"/>
      <c r="L65" s="17"/>
      <c r="M65" s="17"/>
      <c r="N65" s="17"/>
      <c r="O65" s="87"/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/>
      <c r="I66" s="17"/>
      <c r="J66" s="17"/>
      <c r="K66" s="17"/>
      <c r="L66" s="17"/>
      <c r="M66" s="17"/>
      <c r="N66" s="17"/>
      <c r="O66" s="87"/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/>
      <c r="I67" s="17"/>
      <c r="J67" s="17"/>
      <c r="K67" s="17"/>
      <c r="L67" s="17"/>
      <c r="M67" s="17"/>
      <c r="N67" s="17"/>
      <c r="O67" s="87"/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/>
      <c r="I68" s="17"/>
      <c r="J68" s="17"/>
      <c r="K68" s="17"/>
      <c r="L68" s="17"/>
      <c r="M68" s="17"/>
      <c r="N68" s="17"/>
      <c r="O68" s="87"/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/>
      <c r="I69" s="17"/>
      <c r="J69" s="17"/>
      <c r="K69" s="17"/>
      <c r="L69" s="17"/>
      <c r="M69" s="17"/>
      <c r="N69" s="17"/>
      <c r="O69" s="87"/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/>
      <c r="I70" s="134"/>
      <c r="J70" s="134"/>
      <c r="K70" s="134"/>
      <c r="L70" s="134"/>
      <c r="M70" s="134"/>
      <c r="N70" s="134"/>
      <c r="O70" s="134"/>
    </row>
    <row r="71" spans="1:15" outlineLevel="1" x14ac:dyDescent="0.25">
      <c r="B71" s="1" t="s">
        <v>36</v>
      </c>
      <c r="G71" s="1"/>
      <c r="H71" s="15">
        <v>2932482</v>
      </c>
      <c r="I71" s="15">
        <v>50</v>
      </c>
      <c r="J71" s="15">
        <v>9</v>
      </c>
      <c r="K71" s="15">
        <v>7947</v>
      </c>
      <c r="L71" s="15">
        <v>1831</v>
      </c>
      <c r="M71" s="15">
        <v>292</v>
      </c>
      <c r="N71" s="15">
        <v>1</v>
      </c>
      <c r="O71" s="15">
        <v>2936271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/>
      <c r="I72" s="17"/>
      <c r="J72" s="17"/>
      <c r="K72" s="17"/>
      <c r="L72" s="17"/>
      <c r="M72" s="17"/>
      <c r="N72" s="17"/>
      <c r="O72" s="87"/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/>
      <c r="I73" s="17"/>
      <c r="J73" s="17"/>
      <c r="K73" s="17"/>
      <c r="L73" s="17"/>
      <c r="M73" s="17"/>
      <c r="N73" s="17"/>
      <c r="O73" s="87"/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/>
      <c r="I74" s="17"/>
      <c r="J74" s="17"/>
      <c r="K74" s="17"/>
      <c r="L74" s="17"/>
      <c r="M74" s="17"/>
      <c r="N74" s="17"/>
      <c r="O74" s="87"/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/>
      <c r="I75" s="17"/>
      <c r="J75" s="17"/>
      <c r="K75" s="17"/>
      <c r="L75" s="17"/>
      <c r="M75" s="17"/>
      <c r="N75" s="17"/>
      <c r="O75" s="87"/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/>
      <c r="I76" s="17"/>
      <c r="J76" s="17"/>
      <c r="K76" s="17"/>
      <c r="L76" s="17"/>
      <c r="M76" s="17"/>
      <c r="N76" s="17"/>
      <c r="O76" s="87"/>
    </row>
    <row r="77" spans="1:15" outlineLevel="1" x14ac:dyDescent="0.25">
      <c r="B77" s="1" t="s">
        <v>35</v>
      </c>
      <c r="G77" s="1"/>
      <c r="H77" s="15">
        <v>93244</v>
      </c>
      <c r="I77" s="15">
        <v>2</v>
      </c>
      <c r="J77" s="15">
        <v>0</v>
      </c>
      <c r="K77" s="15">
        <v>249</v>
      </c>
      <c r="L77" s="15">
        <v>50</v>
      </c>
      <c r="M77" s="15">
        <v>8</v>
      </c>
      <c r="N77" s="15">
        <v>0</v>
      </c>
      <c r="O77" s="15">
        <v>93331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/>
      <c r="I78" s="17"/>
      <c r="J78" s="17"/>
      <c r="K78" s="17"/>
      <c r="L78" s="17"/>
      <c r="M78" s="17"/>
      <c r="N78" s="17"/>
      <c r="O78" s="87"/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/>
      <c r="I79" s="17"/>
      <c r="J79" s="17"/>
      <c r="K79" s="17"/>
      <c r="L79" s="17"/>
      <c r="M79" s="17"/>
      <c r="N79" s="17"/>
      <c r="O79" s="87"/>
    </row>
    <row r="80" spans="1:15" outlineLevel="1" x14ac:dyDescent="0.25">
      <c r="B80" s="1" t="s">
        <v>37</v>
      </c>
      <c r="G80" s="1"/>
      <c r="H80" s="15">
        <v>35646</v>
      </c>
      <c r="I80" s="15">
        <v>1</v>
      </c>
      <c r="J80" s="15">
        <v>0</v>
      </c>
      <c r="K80" s="15">
        <v>95</v>
      </c>
      <c r="L80" s="15">
        <v>19</v>
      </c>
      <c r="M80" s="15">
        <v>3</v>
      </c>
      <c r="N80" s="15">
        <v>0</v>
      </c>
      <c r="O80" s="15">
        <v>35679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/>
      <c r="I81" s="17"/>
      <c r="J81" s="17"/>
      <c r="K81" s="17"/>
      <c r="L81" s="17"/>
      <c r="M81" s="17"/>
      <c r="N81" s="17"/>
      <c r="O81" s="87"/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/>
      <c r="I82" s="17"/>
      <c r="J82" s="17"/>
      <c r="K82" s="17"/>
      <c r="L82" s="17"/>
      <c r="M82" s="17"/>
      <c r="N82" s="17"/>
      <c r="O82" s="87"/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/>
      <c r="I83" s="95"/>
      <c r="J83" s="17"/>
      <c r="K83" s="17"/>
      <c r="L83" s="17"/>
      <c r="M83" s="17"/>
      <c r="N83" s="17"/>
      <c r="O83" s="87"/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/>
      <c r="I84" s="95"/>
      <c r="J84" s="17"/>
      <c r="K84" s="17"/>
      <c r="L84" s="17"/>
      <c r="M84" s="17"/>
      <c r="N84" s="17"/>
      <c r="O84" s="87"/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/>
      <c r="I85" s="95"/>
      <c r="J85" s="17"/>
      <c r="K85" s="17"/>
      <c r="L85" s="17"/>
      <c r="M85" s="17"/>
      <c r="N85" s="17"/>
      <c r="O85" s="87"/>
    </row>
    <row r="86" spans="2:15" outlineLevel="1" x14ac:dyDescent="0.25">
      <c r="B86" s="1" t="s">
        <v>38</v>
      </c>
      <c r="G86" s="1"/>
      <c r="H86" s="15">
        <v>252703</v>
      </c>
      <c r="I86" s="15">
        <v>5</v>
      </c>
      <c r="J86" s="15">
        <v>0</v>
      </c>
      <c r="K86" s="15">
        <v>676</v>
      </c>
      <c r="L86" s="15">
        <v>135</v>
      </c>
      <c r="M86" s="15">
        <v>23</v>
      </c>
      <c r="N86" s="15">
        <v>0</v>
      </c>
      <c r="O86" s="15">
        <v>252938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/>
      <c r="I87" s="17"/>
      <c r="J87" s="17"/>
      <c r="K87" s="17"/>
      <c r="L87" s="17"/>
      <c r="M87" s="17"/>
      <c r="N87" s="17"/>
      <c r="O87" s="87"/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/>
      <c r="I88" s="17"/>
      <c r="J88" s="17"/>
      <c r="K88" s="17"/>
      <c r="L88" s="17"/>
      <c r="M88" s="17"/>
      <c r="N88" s="17"/>
      <c r="O88" s="87"/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/>
      <c r="I89" s="95"/>
      <c r="J89" s="17"/>
      <c r="K89" s="17"/>
      <c r="L89" s="17"/>
      <c r="M89" s="17"/>
      <c r="N89" s="17"/>
      <c r="O89" s="87"/>
    </row>
    <row r="90" spans="2:15" outlineLevel="1" x14ac:dyDescent="0.25">
      <c r="B90" s="1" t="s">
        <v>39</v>
      </c>
      <c r="G90" s="1"/>
      <c r="H90" s="15">
        <v>1651315</v>
      </c>
      <c r="I90" s="15">
        <v>33</v>
      </c>
      <c r="J90" s="15">
        <v>4</v>
      </c>
      <c r="K90" s="15">
        <v>4419</v>
      </c>
      <c r="L90" s="15">
        <v>825</v>
      </c>
      <c r="M90" s="15">
        <v>144</v>
      </c>
      <c r="N90" s="15">
        <v>75</v>
      </c>
      <c r="O90" s="15">
        <v>1653198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/>
      <c r="I91" s="17"/>
      <c r="J91" s="17"/>
      <c r="K91" s="17"/>
      <c r="L91" s="17"/>
      <c r="M91" s="17"/>
      <c r="N91" s="17"/>
      <c r="O91" s="87"/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/>
      <c r="I92" s="17"/>
      <c r="J92" s="17"/>
      <c r="K92" s="17"/>
      <c r="L92" s="17"/>
      <c r="M92" s="17"/>
      <c r="N92" s="17"/>
      <c r="O92" s="87"/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/>
      <c r="I93" s="17"/>
      <c r="J93" s="17"/>
      <c r="K93" s="17"/>
      <c r="L93" s="17"/>
      <c r="M93" s="17"/>
      <c r="N93" s="17"/>
      <c r="O93" s="87"/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v>1549886</v>
      </c>
      <c r="I94" s="15">
        <v>47</v>
      </c>
      <c r="J94" s="15">
        <v>8</v>
      </c>
      <c r="K94" s="15">
        <v>5919</v>
      </c>
      <c r="L94" s="15">
        <v>417</v>
      </c>
      <c r="M94" s="15">
        <v>110</v>
      </c>
      <c r="N94" s="15">
        <v>1650</v>
      </c>
      <c r="O94" s="15">
        <v>1553442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/>
      <c r="I95" s="17"/>
      <c r="J95" s="17"/>
      <c r="K95" s="17"/>
      <c r="L95" s="17"/>
      <c r="M95" s="17"/>
      <c r="N95" s="17"/>
      <c r="O95" s="87"/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/>
      <c r="I96" s="17"/>
      <c r="J96" s="17"/>
      <c r="K96" s="17"/>
      <c r="L96" s="17"/>
      <c r="M96" s="17"/>
      <c r="N96" s="17"/>
      <c r="O96" s="87"/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/>
      <c r="I97" s="17"/>
      <c r="J97" s="17"/>
      <c r="K97" s="17"/>
      <c r="L97" s="17"/>
      <c r="M97" s="17"/>
      <c r="N97" s="17"/>
      <c r="O97" s="87"/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/>
      <c r="I98" s="17"/>
      <c r="J98" s="17"/>
      <c r="K98" s="17"/>
      <c r="L98" s="17"/>
      <c r="M98" s="17"/>
      <c r="N98" s="17"/>
      <c r="O98" s="87"/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/>
      <c r="I99" s="17"/>
      <c r="J99" s="17"/>
      <c r="K99" s="17"/>
      <c r="L99" s="17"/>
      <c r="M99" s="17"/>
      <c r="N99" s="17"/>
      <c r="O99" s="87"/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/>
      <c r="I100" s="17"/>
      <c r="J100" s="17"/>
      <c r="K100" s="17"/>
      <c r="L100" s="17"/>
      <c r="M100" s="17"/>
      <c r="N100" s="17"/>
      <c r="O100" s="87"/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v>55349598</v>
      </c>
      <c r="I101" s="129">
        <v>17257</v>
      </c>
      <c r="J101" s="129">
        <v>3925</v>
      </c>
      <c r="K101" s="129">
        <v>362961</v>
      </c>
      <c r="L101" s="129">
        <v>1538769</v>
      </c>
      <c r="M101" s="129">
        <v>473700</v>
      </c>
      <c r="N101" s="129">
        <v>15777</v>
      </c>
      <c r="O101" s="129">
        <v>56928667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v>1412258</v>
      </c>
      <c r="I102" s="134">
        <v>10</v>
      </c>
      <c r="J102" s="134">
        <v>40</v>
      </c>
      <c r="K102" s="134">
        <v>4938</v>
      </c>
      <c r="L102" s="134">
        <v>1975</v>
      </c>
      <c r="M102" s="134">
        <v>988</v>
      </c>
      <c r="N102" s="134">
        <v>896</v>
      </c>
      <c r="O102" s="134">
        <v>1424711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v>2690068</v>
      </c>
      <c r="I103" s="15">
        <v>19</v>
      </c>
      <c r="J103" s="15">
        <v>75</v>
      </c>
      <c r="K103" s="15">
        <v>9406</v>
      </c>
      <c r="L103" s="15">
        <v>3762</v>
      </c>
      <c r="M103" s="15">
        <v>1881</v>
      </c>
      <c r="N103" s="15">
        <v>1706</v>
      </c>
      <c r="O103" s="15">
        <v>2713789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/>
      <c r="I104" s="17"/>
      <c r="J104" s="17"/>
      <c r="K104" s="17"/>
      <c r="L104" s="17"/>
      <c r="M104" s="17"/>
      <c r="N104" s="17"/>
      <c r="O104" s="87"/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v>1412258</v>
      </c>
      <c r="I105" s="15">
        <v>10</v>
      </c>
      <c r="J105" s="15">
        <v>40</v>
      </c>
      <c r="K105" s="15">
        <v>4938</v>
      </c>
      <c r="L105" s="15">
        <v>1975</v>
      </c>
      <c r="M105" s="15">
        <v>988</v>
      </c>
      <c r="N105" s="15">
        <v>896</v>
      </c>
      <c r="O105" s="15">
        <v>1424711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/>
      <c r="I106" s="17"/>
      <c r="J106" s="17"/>
      <c r="K106" s="17"/>
      <c r="L106" s="17"/>
      <c r="M106" s="17"/>
      <c r="N106" s="17"/>
      <c r="O106" s="87"/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v>49967916</v>
      </c>
      <c r="I107" s="134">
        <v>17091</v>
      </c>
      <c r="J107" s="134">
        <v>3795</v>
      </c>
      <c r="K107" s="134">
        <v>327140</v>
      </c>
      <c r="L107" s="134">
        <v>1519761</v>
      </c>
      <c r="M107" s="134">
        <v>469256</v>
      </c>
      <c r="N107" s="134">
        <v>13915</v>
      </c>
      <c r="O107" s="134">
        <v>51503405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/>
      <c r="I108" s="15"/>
      <c r="J108" s="15"/>
      <c r="K108" s="15"/>
      <c r="L108" s="15"/>
      <c r="M108" s="15"/>
      <c r="N108" s="15"/>
      <c r="O108" s="15"/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/>
      <c r="I109" s="17"/>
      <c r="J109" s="17"/>
      <c r="K109" s="17"/>
      <c r="L109" s="17"/>
      <c r="M109" s="17"/>
      <c r="N109" s="17"/>
      <c r="O109" s="87"/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/>
      <c r="I110" s="17"/>
      <c r="J110" s="17"/>
      <c r="K110" s="17"/>
      <c r="L110" s="17"/>
      <c r="M110" s="17"/>
      <c r="N110" s="17"/>
      <c r="O110" s="87"/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/>
      <c r="I111" s="17"/>
      <c r="J111" s="17"/>
      <c r="K111" s="17"/>
      <c r="L111" s="17"/>
      <c r="M111" s="17"/>
      <c r="N111" s="17"/>
      <c r="O111" s="87"/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/>
      <c r="I112" s="17"/>
      <c r="J112" s="17"/>
      <c r="K112" s="17"/>
      <c r="L112" s="17"/>
      <c r="M112" s="17"/>
      <c r="N112" s="17"/>
      <c r="O112" s="87"/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/>
      <c r="I113" s="17"/>
      <c r="J113" s="17"/>
      <c r="K113" s="17"/>
      <c r="L113" s="17"/>
      <c r="M113" s="17"/>
      <c r="N113" s="17"/>
      <c r="O113" s="87"/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/>
      <c r="I114" s="15"/>
      <c r="J114" s="15"/>
      <c r="K114" s="15"/>
      <c r="L114" s="15"/>
      <c r="M114" s="15"/>
      <c r="N114" s="15"/>
      <c r="O114" s="15"/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/>
      <c r="I115" s="17"/>
      <c r="J115" s="17"/>
      <c r="K115" s="17"/>
      <c r="L115" s="17"/>
      <c r="M115" s="17"/>
      <c r="N115" s="17"/>
      <c r="O115" s="87"/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v>147062</v>
      </c>
      <c r="I116" s="134">
        <v>8</v>
      </c>
      <c r="J116" s="134">
        <v>57</v>
      </c>
      <c r="K116" s="134">
        <v>2382</v>
      </c>
      <c r="L116" s="134">
        <v>1985</v>
      </c>
      <c r="M116" s="134">
        <v>397</v>
      </c>
      <c r="N116" s="134">
        <v>72</v>
      </c>
      <c r="O116" s="134">
        <v>164831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/>
      <c r="I117" s="17"/>
      <c r="J117" s="17"/>
      <c r="K117" s="17"/>
      <c r="L117" s="17"/>
      <c r="M117" s="17"/>
      <c r="N117" s="17"/>
      <c r="O117" s="87"/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v>1049694</v>
      </c>
      <c r="I118" s="134">
        <v>98</v>
      </c>
      <c r="J118" s="134">
        <v>28</v>
      </c>
      <c r="K118" s="134">
        <v>21091</v>
      </c>
      <c r="L118" s="134">
        <v>14061</v>
      </c>
      <c r="M118" s="134">
        <v>2812</v>
      </c>
      <c r="N118" s="134">
        <v>893</v>
      </c>
      <c r="O118" s="134">
        <v>1060478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v>4963113</v>
      </c>
      <c r="I119" s="15">
        <v>451</v>
      </c>
      <c r="J119" s="15">
        <v>129</v>
      </c>
      <c r="K119" s="15">
        <v>96669</v>
      </c>
      <c r="L119" s="15">
        <v>64446</v>
      </c>
      <c r="M119" s="15">
        <v>12889</v>
      </c>
      <c r="N119" s="15">
        <v>11536</v>
      </c>
      <c r="O119" s="15">
        <v>5012543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/>
      <c r="I120" s="17"/>
      <c r="J120" s="17"/>
      <c r="K120" s="17"/>
      <c r="L120" s="17"/>
      <c r="M120" s="17"/>
      <c r="N120" s="17"/>
      <c r="O120" s="87"/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/>
      <c r="I121" s="17"/>
      <c r="J121" s="17"/>
      <c r="K121" s="17"/>
      <c r="L121" s="17"/>
      <c r="M121" s="17"/>
      <c r="N121" s="17"/>
      <c r="O121" s="87"/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v>1049694</v>
      </c>
      <c r="I122" s="15">
        <v>98</v>
      </c>
      <c r="J122" s="15">
        <v>28</v>
      </c>
      <c r="K122" s="15">
        <v>21091</v>
      </c>
      <c r="L122" s="15">
        <v>14061</v>
      </c>
      <c r="M122" s="15">
        <v>2812</v>
      </c>
      <c r="N122" s="15">
        <v>893</v>
      </c>
      <c r="O122" s="15">
        <v>1060478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/>
      <c r="I123" s="17"/>
      <c r="J123" s="17"/>
      <c r="K123" s="17"/>
      <c r="L123" s="17"/>
      <c r="M123" s="17"/>
      <c r="N123" s="17"/>
      <c r="O123" s="87"/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/>
      <c r="I124" s="17"/>
      <c r="J124" s="17"/>
      <c r="K124" s="17"/>
      <c r="L124" s="17"/>
      <c r="M124" s="17"/>
      <c r="N124" s="17"/>
      <c r="O124" s="87"/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v>2772668</v>
      </c>
      <c r="I125" s="134">
        <v>49</v>
      </c>
      <c r="J125" s="134">
        <v>5</v>
      </c>
      <c r="K125" s="134">
        <v>7411</v>
      </c>
      <c r="L125" s="134">
        <v>988</v>
      </c>
      <c r="M125" s="134">
        <v>247</v>
      </c>
      <c r="N125" s="134">
        <v>1</v>
      </c>
      <c r="O125" s="134">
        <v>2775242</v>
      </c>
    </row>
    <row r="126" spans="1:15" outlineLevel="1" x14ac:dyDescent="0.25">
      <c r="A126" s="10" t="s">
        <v>63</v>
      </c>
      <c r="B126" s="1" t="s">
        <v>64</v>
      </c>
      <c r="H126" s="15">
        <v>2772668</v>
      </c>
      <c r="I126" s="15">
        <v>49</v>
      </c>
      <c r="J126" s="15">
        <v>5</v>
      </c>
      <c r="K126" s="15">
        <v>7411</v>
      </c>
      <c r="L126" s="15">
        <v>988</v>
      </c>
      <c r="M126" s="15">
        <v>247</v>
      </c>
      <c r="N126" s="15">
        <v>1</v>
      </c>
      <c r="O126" s="15">
        <v>2775242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/>
      <c r="I127" s="17"/>
      <c r="J127" s="17"/>
      <c r="K127" s="17"/>
      <c r="L127" s="17"/>
      <c r="M127" s="17"/>
      <c r="N127" s="17"/>
      <c r="O127" s="87"/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/>
      <c r="I128" s="17"/>
      <c r="J128" s="17"/>
      <c r="K128" s="17"/>
      <c r="L128" s="17"/>
      <c r="M128" s="17"/>
      <c r="N128" s="17"/>
      <c r="O128" s="87"/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/>
      <c r="I129" s="17"/>
      <c r="J129" s="17"/>
      <c r="K129" s="17"/>
      <c r="L129" s="17"/>
      <c r="M129" s="17"/>
      <c r="N129" s="17"/>
      <c r="O129" s="87"/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v>46045350</v>
      </c>
      <c r="I131" s="129">
        <v>1102</v>
      </c>
      <c r="J131" s="129">
        <v>162</v>
      </c>
      <c r="K131" s="129">
        <v>286399</v>
      </c>
      <c r="L131" s="129">
        <v>194557</v>
      </c>
      <c r="M131" s="129">
        <v>36215</v>
      </c>
      <c r="N131" s="129">
        <v>7833.4000000000005</v>
      </c>
      <c r="O131" s="129">
        <v>46118799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v>5107092</v>
      </c>
      <c r="I132" s="134">
        <v>102</v>
      </c>
      <c r="J132" s="134">
        <v>12</v>
      </c>
      <c r="K132" s="134">
        <v>12693</v>
      </c>
      <c r="L132" s="134">
        <v>4131</v>
      </c>
      <c r="M132" s="134">
        <v>436</v>
      </c>
      <c r="N132" s="134">
        <v>725</v>
      </c>
      <c r="O132" s="134">
        <v>5113107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/>
      <c r="I133" s="17"/>
      <c r="J133" s="17"/>
      <c r="K133" s="17"/>
      <c r="L133" s="17"/>
      <c r="M133" s="17"/>
      <c r="N133" s="17"/>
      <c r="O133" s="87"/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/>
      <c r="I134" s="17"/>
      <c r="J134" s="17"/>
      <c r="K134" s="17"/>
      <c r="L134" s="17"/>
      <c r="M134" s="17"/>
      <c r="N134" s="17"/>
      <c r="O134" s="87"/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/>
      <c r="I135" s="17"/>
      <c r="J135" s="17"/>
      <c r="K135" s="17"/>
      <c r="L135" s="17"/>
      <c r="M135" s="17"/>
      <c r="N135" s="17"/>
      <c r="O135" s="87"/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/>
      <c r="I136" s="17"/>
      <c r="J136" s="17"/>
      <c r="K136" s="17"/>
      <c r="L136" s="17"/>
      <c r="M136" s="17"/>
      <c r="N136" s="17"/>
      <c r="O136" s="87"/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/>
      <c r="I137" s="17"/>
      <c r="J137" s="17"/>
      <c r="K137" s="17"/>
      <c r="L137" s="17"/>
      <c r="M137" s="17"/>
      <c r="N137" s="17"/>
      <c r="O137" s="87"/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v>28388863</v>
      </c>
      <c r="I138" s="134">
        <v>499</v>
      </c>
      <c r="J138" s="134">
        <v>50</v>
      </c>
      <c r="K138" s="134">
        <v>74634</v>
      </c>
      <c r="L138" s="134">
        <v>24868</v>
      </c>
      <c r="M138" s="134">
        <v>2489</v>
      </c>
      <c r="N138" s="134">
        <v>300</v>
      </c>
      <c r="O138" s="134">
        <v>28414896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/>
      <c r="I139" s="17"/>
      <c r="J139" s="17"/>
      <c r="K139" s="17"/>
      <c r="L139" s="17"/>
      <c r="M139" s="17"/>
      <c r="N139" s="17"/>
      <c r="O139" s="87"/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/>
      <c r="I140" s="17"/>
      <c r="J140" s="17"/>
      <c r="K140" s="17"/>
      <c r="L140" s="17"/>
      <c r="M140" s="17"/>
      <c r="N140" s="17"/>
      <c r="O140" s="87"/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/>
      <c r="I141" s="17"/>
      <c r="J141" s="17"/>
      <c r="K141" s="17"/>
      <c r="L141" s="17"/>
      <c r="M141" s="17"/>
      <c r="N141" s="17"/>
      <c r="O141" s="87"/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/>
      <c r="I142" s="17"/>
      <c r="J142" s="17"/>
      <c r="K142" s="17"/>
      <c r="L142" s="17"/>
      <c r="M142" s="17"/>
      <c r="N142" s="17"/>
      <c r="O142" s="87"/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/>
      <c r="I143" s="17"/>
      <c r="J143" s="17"/>
      <c r="K143" s="17"/>
      <c r="L143" s="17"/>
      <c r="M143" s="17"/>
      <c r="N143" s="17"/>
      <c r="O143" s="87"/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/>
      <c r="I144" s="17"/>
      <c r="J144" s="17"/>
      <c r="K144" s="17"/>
      <c r="L144" s="17"/>
      <c r="M144" s="17"/>
      <c r="N144" s="17"/>
      <c r="O144" s="87"/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v>12549395</v>
      </c>
      <c r="I145" s="134">
        <v>500</v>
      </c>
      <c r="J145" s="134">
        <v>100</v>
      </c>
      <c r="K145" s="134">
        <v>199072</v>
      </c>
      <c r="L145" s="134">
        <v>165558</v>
      </c>
      <c r="M145" s="134">
        <v>33290</v>
      </c>
      <c r="N145" s="134">
        <v>6803</v>
      </c>
      <c r="O145" s="134">
        <v>12590796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/>
      <c r="I146" s="17"/>
      <c r="J146" s="17"/>
      <c r="K146" s="17"/>
      <c r="L146" s="17"/>
      <c r="M146" s="17"/>
      <c r="N146" s="17"/>
      <c r="O146" s="87"/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/>
      <c r="I147" s="17"/>
      <c r="J147" s="17"/>
      <c r="K147" s="17"/>
      <c r="L147" s="17"/>
      <c r="M147" s="17"/>
      <c r="N147" s="17"/>
      <c r="O147" s="87"/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/>
      <c r="I148" s="17"/>
      <c r="J148" s="17"/>
      <c r="K148" s="17"/>
      <c r="L148" s="17"/>
      <c r="M148" s="17"/>
      <c r="N148" s="17"/>
      <c r="O148" s="87"/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/>
      <c r="I149" s="17"/>
      <c r="J149" s="17"/>
      <c r="K149" s="17"/>
      <c r="L149" s="17"/>
      <c r="M149" s="17"/>
      <c r="N149" s="17"/>
      <c r="O149" s="87"/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0">I151+I152</f>
        <v>0</v>
      </c>
      <c r="J150" s="129">
        <f t="shared" si="0"/>
        <v>0</v>
      </c>
      <c r="K150" s="129">
        <f t="shared" si="0"/>
        <v>0</v>
      </c>
      <c r="L150" s="129">
        <f t="shared" si="0"/>
        <v>0</v>
      </c>
      <c r="M150" s="129">
        <f t="shared" si="0"/>
        <v>0</v>
      </c>
      <c r="N150" s="129">
        <f t="shared" si="0"/>
        <v>0</v>
      </c>
      <c r="O150" s="129">
        <f t="shared" si="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Actividad'!$H147*'FE Sectorial'!$H150*'FE Sectorial'!I150*'FE Sectorial'!P150/1000</f>
        <v>0</v>
      </c>
      <c r="I151" s="134">
        <f>'Datos Actividad'!$H147*'FE Sectorial'!$H150*'FE Sectorial'!J150/1000/1000</f>
        <v>0</v>
      </c>
      <c r="J151" s="134">
        <f>'Datos Actividad'!$H147*'FE Sectorial'!$H150*'FE Sectorial'!K150/1000/1000</f>
        <v>0</v>
      </c>
      <c r="K151" s="134">
        <f>'Datos Actividad'!$H147*'FE Sectorial'!$H150*'FE Sectorial'!L150/1000/1000</f>
        <v>0</v>
      </c>
      <c r="L151" s="134">
        <f>'Datos Actividad'!$H147*'FE Sectorial'!$H150*'FE Sectorial'!M150/1000/1000</f>
        <v>0</v>
      </c>
      <c r="M151" s="134">
        <f>'Datos Actividad'!$H147*'FE Sectorial'!$H150*'FE Sectorial'!N150/1000/1000</f>
        <v>0</v>
      </c>
      <c r="N151" s="134">
        <f>'Datos Actividad'!$H147*'FE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Actividad'!$H148*'FE Sectorial'!$H151*'FE Sectorial'!I151*'FE Sectorial'!P151/1000</f>
        <v>0</v>
      </c>
      <c r="I152" s="134">
        <f>'Datos Actividad'!$H148*'FE Sectorial'!$H151*'FE Sectorial'!J151/1000/1000</f>
        <v>0</v>
      </c>
      <c r="J152" s="134">
        <f>'Datos Actividad'!$H148*'FE Sectorial'!$H151*'FE Sectorial'!K151/1000/1000</f>
        <v>0</v>
      </c>
      <c r="K152" s="134">
        <f>'Datos Actividad'!$H148*'FE Sectorial'!$H151*'FE Sectorial'!L151/1000/1000</f>
        <v>0</v>
      </c>
      <c r="L152" s="134">
        <f>'Datos Actividad'!$H148*'FE Sectorial'!$H151*'FE Sectorial'!M151/1000/1000</f>
        <v>0</v>
      </c>
      <c r="M152" s="134">
        <f>'Datos Actividad'!$H148*'FE Sectorial'!$H151*'FE Sectorial'!N151/1000/1000</f>
        <v>0</v>
      </c>
      <c r="N152" s="134">
        <f>'Datos Actividad'!$H148*'FE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v>4298272</v>
      </c>
      <c r="I153" s="124">
        <v>327233</v>
      </c>
      <c r="J153" s="124">
        <v>26</v>
      </c>
      <c r="K153" s="124">
        <v>2</v>
      </c>
      <c r="L153" s="124">
        <v>2</v>
      </c>
      <c r="M153" s="124">
        <v>108534</v>
      </c>
      <c r="N153" s="124">
        <v>24</v>
      </c>
      <c r="O153" s="124">
        <v>11178266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v>0</v>
      </c>
      <c r="I154" s="129">
        <v>2628</v>
      </c>
      <c r="J154" s="129">
        <v>0</v>
      </c>
      <c r="K154" s="129">
        <v>0</v>
      </c>
      <c r="L154" s="129">
        <v>0</v>
      </c>
      <c r="M154" s="129">
        <v>0</v>
      </c>
      <c r="N154" s="129">
        <v>0</v>
      </c>
      <c r="O154" s="129">
        <v>55179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v>0</v>
      </c>
      <c r="I155" s="134">
        <v>2628</v>
      </c>
      <c r="J155" s="134">
        <v>0</v>
      </c>
      <c r="K155" s="134">
        <v>0</v>
      </c>
      <c r="L155" s="134">
        <v>0</v>
      </c>
      <c r="M155" s="134">
        <v>0</v>
      </c>
      <c r="N155" s="134">
        <v>0</v>
      </c>
      <c r="O155" s="134">
        <v>55179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/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/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/>
      <c r="J158" s="17"/>
      <c r="K158" s="17"/>
      <c r="L158" s="17"/>
      <c r="M158" s="17"/>
      <c r="N158" s="17"/>
      <c r="O158" s="87"/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/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/>
      <c r="J160" s="17"/>
      <c r="K160" s="17"/>
      <c r="L160" s="17"/>
      <c r="M160" s="17"/>
      <c r="N160" s="17"/>
      <c r="O160" s="87"/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/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/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/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/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/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v>4298272</v>
      </c>
      <c r="I168" s="129">
        <v>324605</v>
      </c>
      <c r="J168" s="129">
        <v>26</v>
      </c>
      <c r="K168" s="129">
        <v>2</v>
      </c>
      <c r="L168" s="129">
        <v>2</v>
      </c>
      <c r="M168" s="129">
        <v>108534</v>
      </c>
      <c r="N168" s="129">
        <v>24</v>
      </c>
      <c r="O168" s="129">
        <v>11123086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v>49095</v>
      </c>
      <c r="I169" s="134">
        <v>11127</v>
      </c>
      <c r="J169" s="134">
        <v>0</v>
      </c>
      <c r="K169" s="134">
        <v>2</v>
      </c>
      <c r="L169" s="134">
        <v>2</v>
      </c>
      <c r="M169" s="134">
        <v>68024</v>
      </c>
      <c r="N169" s="134">
        <v>24</v>
      </c>
      <c r="O169" s="134">
        <v>282873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/>
      <c r="I171" s="92"/>
      <c r="J171" s="92"/>
      <c r="K171" s="92"/>
      <c r="L171" s="92"/>
      <c r="M171" s="92"/>
      <c r="N171" s="92"/>
      <c r="O171" s="87"/>
    </row>
    <row r="172" spans="1:15" s="27" customFormat="1" outlineLevel="1" x14ac:dyDescent="0.25">
      <c r="A172" s="20"/>
      <c r="B172" s="21"/>
      <c r="D172" s="85"/>
      <c r="E172" s="27" t="s">
        <v>158</v>
      </c>
      <c r="H172" s="92"/>
      <c r="I172" s="92"/>
      <c r="J172" s="92"/>
      <c r="K172" s="92"/>
      <c r="L172" s="92"/>
      <c r="M172" s="92"/>
      <c r="N172" s="92"/>
      <c r="O172" s="87"/>
    </row>
    <row r="173" spans="1:15" s="27" customFormat="1" outlineLevel="1" x14ac:dyDescent="0.25">
      <c r="A173" s="20"/>
      <c r="B173" s="21"/>
      <c r="D173" s="85"/>
      <c r="E173" s="27" t="s">
        <v>159</v>
      </c>
      <c r="H173" s="92"/>
      <c r="I173" s="92"/>
      <c r="J173" s="92"/>
      <c r="K173" s="92"/>
      <c r="L173" s="92"/>
      <c r="M173" s="92"/>
      <c r="N173" s="92"/>
      <c r="O173" s="87"/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/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/>
      <c r="I175" s="92"/>
      <c r="J175" s="92"/>
      <c r="K175" s="92"/>
      <c r="L175" s="92"/>
      <c r="M175" s="92"/>
      <c r="N175" s="92"/>
      <c r="O175" s="87"/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/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/>
      <c r="I177" s="92"/>
      <c r="J177" s="92"/>
      <c r="K177" s="92"/>
      <c r="L177" s="92"/>
      <c r="M177" s="92"/>
      <c r="N177" s="92"/>
      <c r="O177" s="87"/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/>
      <c r="I178" s="92"/>
      <c r="J178" s="92"/>
      <c r="K178" s="92"/>
      <c r="L178" s="92"/>
      <c r="M178" s="92"/>
      <c r="N178" s="92"/>
      <c r="O178" s="87"/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/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/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/>
      <c r="I181" s="92"/>
      <c r="J181" s="92"/>
      <c r="K181" s="92"/>
      <c r="L181" s="92"/>
      <c r="M181" s="92"/>
      <c r="N181" s="92"/>
      <c r="O181" s="87"/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/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/>
      <c r="I183" s="92"/>
      <c r="J183" s="92"/>
      <c r="K183" s="92"/>
      <c r="L183" s="92"/>
      <c r="M183" s="92"/>
      <c r="N183" s="92"/>
      <c r="O183" s="87"/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/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/>
      <c r="I185" s="92"/>
      <c r="J185" s="92"/>
      <c r="K185" s="92"/>
      <c r="L185" s="92"/>
      <c r="M185" s="92"/>
      <c r="N185" s="92"/>
      <c r="O185" s="87"/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/>
      <c r="I186" s="92"/>
      <c r="J186" s="92"/>
      <c r="K186" s="92"/>
      <c r="L186" s="92"/>
      <c r="M186" s="92"/>
      <c r="N186" s="92"/>
      <c r="O186" s="87"/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/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v>2766023</v>
      </c>
      <c r="I188" s="134">
        <v>286505</v>
      </c>
      <c r="J188" s="134">
        <v>3</v>
      </c>
      <c r="K188" s="134">
        <v>0</v>
      </c>
      <c r="L188" s="134">
        <v>0</v>
      </c>
      <c r="M188" s="134">
        <v>24194</v>
      </c>
      <c r="N188" s="134">
        <v>0</v>
      </c>
      <c r="O188" s="134">
        <v>8783451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/>
      <c r="I191" s="92"/>
      <c r="J191" s="92"/>
      <c r="K191" s="92"/>
      <c r="L191" s="92"/>
      <c r="M191" s="92"/>
      <c r="N191" s="92"/>
      <c r="O191" s="87"/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/>
      <c r="I193" s="92"/>
      <c r="J193" s="92"/>
      <c r="K193" s="92"/>
      <c r="L193" s="92"/>
      <c r="M193" s="92"/>
      <c r="N193" s="92"/>
      <c r="O193" s="87"/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/>
      <c r="I196" s="92"/>
      <c r="J196" s="92"/>
      <c r="K196" s="92"/>
      <c r="L196" s="92"/>
      <c r="M196" s="92"/>
      <c r="N196" s="92"/>
      <c r="O196" s="87"/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/>
      <c r="I198" s="92"/>
      <c r="J198" s="92"/>
      <c r="K198" s="92"/>
      <c r="L198" s="92"/>
      <c r="M198" s="92"/>
      <c r="N198" s="92"/>
      <c r="O198" s="87"/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/>
      <c r="I201" s="92"/>
      <c r="J201" s="92"/>
      <c r="K201" s="92"/>
      <c r="L201" s="92"/>
      <c r="M201" s="92"/>
      <c r="N201" s="92"/>
      <c r="O201" s="87"/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/>
      <c r="I203" s="92"/>
      <c r="J203" s="92"/>
      <c r="K203" s="92"/>
      <c r="L203" s="92"/>
      <c r="M203" s="92"/>
      <c r="N203" s="92"/>
      <c r="O203" s="87"/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/>
      <c r="I204" s="134"/>
      <c r="J204" s="134"/>
      <c r="K204" s="134"/>
      <c r="L204" s="134"/>
      <c r="M204" s="134"/>
      <c r="N204" s="134"/>
      <c r="O204" s="134"/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/>
      <c r="I207" s="92"/>
      <c r="J207" s="92"/>
      <c r="K207" s="92"/>
      <c r="L207" s="92"/>
      <c r="M207" s="92"/>
      <c r="N207" s="92"/>
      <c r="O207" s="87"/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/>
      <c r="I209" s="92"/>
      <c r="J209" s="92"/>
      <c r="K209" s="92"/>
      <c r="L209" s="92"/>
      <c r="M209" s="92"/>
      <c r="N209" s="92"/>
      <c r="O209" s="87"/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/>
      <c r="I213" s="92"/>
      <c r="J213" s="92"/>
      <c r="K213" s="92"/>
      <c r="L213" s="92"/>
      <c r="M213" s="92"/>
      <c r="N213" s="92"/>
      <c r="O213" s="87"/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/>
      <c r="I215" s="92"/>
      <c r="J215" s="92"/>
      <c r="K215" s="92"/>
      <c r="L215" s="92"/>
      <c r="M215" s="92"/>
      <c r="N215" s="92"/>
      <c r="O215" s="87"/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/>
      <c r="I218" s="92"/>
      <c r="J218" s="92"/>
      <c r="K218" s="92"/>
      <c r="L218" s="92"/>
      <c r="M218" s="92"/>
      <c r="N218" s="92"/>
      <c r="O218" s="87"/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/>
      <c r="I220" s="92"/>
      <c r="J220" s="92"/>
      <c r="K220" s="92"/>
      <c r="L220" s="92"/>
      <c r="M220" s="92"/>
      <c r="N220" s="92"/>
      <c r="O220" s="87"/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0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7726332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2713789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5012543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9"/>
  <sheetViews>
    <sheetView topLeftCell="E1" zoomScale="80" zoomScaleNormal="80" zoomScalePageLayoutView="80" workbookViewId="0">
      <pane ySplit="4" topLeftCell="A196" activePane="bottomLeft" state="frozen"/>
      <selection pane="bottomLeft" activeCell="E1" sqref="E1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42" t="s">
        <v>217</v>
      </c>
      <c r="I3" s="42" t="s">
        <v>218</v>
      </c>
      <c r="J3" s="42" t="s">
        <v>219</v>
      </c>
      <c r="K3" s="42" t="s">
        <v>232</v>
      </c>
      <c r="L3" s="42" t="s">
        <v>233</v>
      </c>
      <c r="M3" s="42" t="s">
        <v>234</v>
      </c>
      <c r="N3" s="42" t="s">
        <v>235</v>
      </c>
      <c r="O3" s="42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42" t="s">
        <v>237</v>
      </c>
      <c r="I4" s="42" t="s">
        <v>238</v>
      </c>
      <c r="J4" s="42" t="s">
        <v>239</v>
      </c>
      <c r="K4" s="42" t="s">
        <v>240</v>
      </c>
      <c r="L4" s="42" t="s">
        <v>241</v>
      </c>
      <c r="M4" s="42" t="s">
        <v>242</v>
      </c>
      <c r="N4" s="42" t="s">
        <v>243</v>
      </c>
      <c r="O4" s="42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172556053.42620596</v>
      </c>
      <c r="I5" s="138">
        <f t="shared" si="0"/>
        <v>381579.24485809356</v>
      </c>
      <c r="J5" s="138">
        <f t="shared" si="0"/>
        <v>4778.6894010513897</v>
      </c>
      <c r="K5" s="138">
        <f t="shared" si="0"/>
        <v>998873.50830288616</v>
      </c>
      <c r="L5" s="138">
        <f t="shared" si="0"/>
        <v>2911683.8711389238</v>
      </c>
      <c r="M5" s="138">
        <f t="shared" si="0"/>
        <v>581611.13862660422</v>
      </c>
      <c r="N5" s="138">
        <f t="shared" si="0"/>
        <v>102109.48779643443</v>
      </c>
      <c r="O5" s="138">
        <f t="shared" si="0"/>
        <v>182050611.28255188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167880554.35848805</v>
      </c>
      <c r="I6" s="124">
        <f t="shared" si="1"/>
        <v>24072.936612617181</v>
      </c>
      <c r="J6" s="124">
        <f t="shared" si="1"/>
        <v>4750.5227642094333</v>
      </c>
      <c r="K6" s="124">
        <f t="shared" si="1"/>
        <v>997378.31819453766</v>
      </c>
      <c r="L6" s="124">
        <f t="shared" si="1"/>
        <v>2909291.5746924439</v>
      </c>
      <c r="M6" s="124">
        <f t="shared" si="1"/>
        <v>466362.40659579815</v>
      </c>
      <c r="N6" s="124">
        <f t="shared" si="1"/>
        <v>78186.523331634424</v>
      </c>
      <c r="O6" s="124">
        <f t="shared" si="1"/>
        <v>169858748.08425796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54179186.905261874</v>
      </c>
      <c r="I7" s="129">
        <f t="shared" si="2"/>
        <v>1253.1776472347092</v>
      </c>
      <c r="J7" s="129">
        <f t="shared" si="2"/>
        <v>216.87282367778883</v>
      </c>
      <c r="K7" s="129">
        <f t="shared" si="2"/>
        <v>146453.20396327478</v>
      </c>
      <c r="L7" s="129">
        <f t="shared" si="2"/>
        <v>16876.278097546499</v>
      </c>
      <c r="M7" s="129">
        <f t="shared" si="2"/>
        <v>4446.4938256962823</v>
      </c>
      <c r="N7" s="129">
        <f t="shared" si="2"/>
        <v>48498.920997085093</v>
      </c>
      <c r="O7" s="129">
        <f t="shared" si="2"/>
        <v>54272734.211193912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41056376.538711131</v>
      </c>
      <c r="I8" s="134">
        <f t="shared" si="3"/>
        <v>1016.0764815144</v>
      </c>
      <c r="J8" s="134">
        <f t="shared" si="3"/>
        <v>191.64572252208001</v>
      </c>
      <c r="K8" s="134">
        <f t="shared" si="3"/>
        <v>111301.91382496001</v>
      </c>
      <c r="L8" s="134">
        <f t="shared" si="3"/>
        <v>12226.189930692</v>
      </c>
      <c r="M8" s="134">
        <f t="shared" si="3"/>
        <v>3281.4180298840006</v>
      </c>
      <c r="N8" s="134">
        <f t="shared" si="3"/>
        <v>47641.687976000001</v>
      </c>
      <c r="O8" s="134">
        <f t="shared" si="3"/>
        <v>41137124.318804771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41056376.538711131</v>
      </c>
      <c r="I9" s="93">
        <f t="shared" ref="I9:O9" si="4">I10+I11+I12+I13+I14</f>
        <v>1016.0764815144</v>
      </c>
      <c r="J9" s="93">
        <f t="shared" si="4"/>
        <v>191.64572252208001</v>
      </c>
      <c r="K9" s="93">
        <f t="shared" si="4"/>
        <v>111301.91382496001</v>
      </c>
      <c r="L9" s="93">
        <f t="shared" si="4"/>
        <v>12226.189930692</v>
      </c>
      <c r="M9" s="93">
        <f t="shared" si="4"/>
        <v>3281.4180298840006</v>
      </c>
      <c r="N9" s="93">
        <f t="shared" si="4"/>
        <v>47641.687976000001</v>
      </c>
      <c r="O9" s="93">
        <f t="shared" si="4"/>
        <v>41137124.318804771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Actividad'!$H6*'FE Sectorial'!$H9*'FE Sectorial'!I9*'FE Sectorial'!$P9/1000</f>
        <v>2388498.6521088001</v>
      </c>
      <c r="I10" s="92">
        <f>'Datos Actividad'!$H6*'FE Sectorial'!$H9*'FE Sectorial'!J9/1000/1000</f>
        <v>25.763673600000001</v>
      </c>
      <c r="J10" s="92">
        <f>'Datos Actividad'!$H6*'FE Sectorial'!$H9*'FE Sectorial'!K9/1000/1000</f>
        <v>38.645510400000006</v>
      </c>
      <c r="K10" s="92">
        <f>'Datos Actividad'!$H6*'FE Sectorial'!$H9*'FE Sectorial'!L9/1000/1000</f>
        <v>7729.1020799999997</v>
      </c>
      <c r="L10" s="92">
        <f>'Datos Actividad'!$H6*'FE Sectorial'!$H9*'FE Sectorial'!M9/1000/1000</f>
        <v>515.27347199999997</v>
      </c>
      <c r="M10" s="92">
        <f>'Datos Actividad'!$H6*'FE Sectorial'!$H9*'FE Sectorial'!N9/1000/1000</f>
        <v>128.81836799999999</v>
      </c>
      <c r="N10" s="92">
        <f>'Datos Actividad'!$H6*'FE Sectorial'!$H9*'FE Sectorial'!O9/1000/1000</f>
        <v>24665.222400000002</v>
      </c>
      <c r="O10" s="92">
        <f>IF(D10&lt;400,H10+I10*'Factores generales'!$M$41+J10*'Factores generales'!$N$41,I10*'Factores generales'!$M$41+J10*'Factores generales'!$N$41)</f>
        <v>2401019.7974784002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Actividad'!$H7*'FE Sectorial'!$H10*'FE Sectorial'!I10*'FE Sectorial'!$P10/1000</f>
        <v>5717432.8346850006</v>
      </c>
      <c r="I11" s="17">
        <f>'Datos Actividad'!$H7*'FE Sectorial'!$H10*'FE Sectorial'!J10/1000/1000</f>
        <v>233.81314499999999</v>
      </c>
      <c r="J11" s="17">
        <f>'Datos Actividad'!$H7*'FE Sectorial'!$H10*'FE Sectorial'!K10/1000/1000</f>
        <v>46.762629000000004</v>
      </c>
      <c r="K11" s="17">
        <f>'Datos Actividad'!$H7*'FE Sectorial'!$H10*'FE Sectorial'!L10/1000/1000</f>
        <v>15587.543</v>
      </c>
      <c r="L11" s="17">
        <f>'Datos Actividad'!$H7*'FE Sectorial'!$H10*'FE Sectorial'!M10/1000/1000</f>
        <v>1169.0657250000002</v>
      </c>
      <c r="M11" s="17">
        <f>'Datos Actividad'!$H7*'FE Sectorial'!$H10*'FE Sectorial'!N10/1000/1000</f>
        <v>389.68857500000001</v>
      </c>
      <c r="N11" s="17">
        <f>'Datos Actividad'!$H7*'FE Sectorial'!$H10*'FE Sectorial'!O10/1000/1000</f>
        <v>2827.5077999999999</v>
      </c>
      <c r="O11" s="17">
        <f>IF(D11&lt;400,H11+I11*'Factores generales'!$M$41+J11*'Factores generales'!$N$41,I11*'Factores generales'!$M$41+J11*'Factores generales'!$N$41)</f>
        <v>5736839.325720001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Actividad'!$H8*'FE Sectorial'!$H11*'FE Sectorial'!I11*'FE Sectorial'!$P11/1000</f>
        <v>7796866.89464607</v>
      </c>
      <c r="I12" s="92">
        <f>'Datos Actividad'!$H8*'FE Sectorial'!$H11*'FE Sectorial'!J11/1000/1000</f>
        <v>305.25671030640001</v>
      </c>
      <c r="J12" s="92">
        <f>'Datos Actividad'!$H8*'FE Sectorial'!$H11*'FE Sectorial'!K11/1000/1000</f>
        <v>61.051342061279996</v>
      </c>
      <c r="K12" s="92">
        <f>'Datos Actividad'!$H8*'FE Sectorial'!$H11*'FE Sectorial'!L11/1000/1000</f>
        <v>20350.447353759999</v>
      </c>
      <c r="L12" s="92">
        <f>'Datos Actividad'!$H8*'FE Sectorial'!$H11*'FE Sectorial'!M11/1000/1000</f>
        <v>1526.283551532</v>
      </c>
      <c r="M12" s="92">
        <f>'Datos Actividad'!$H8*'FE Sectorial'!$H11*'FE Sectorial'!N11/1000/1000</f>
        <v>508.76118384400002</v>
      </c>
      <c r="N12" s="92">
        <f>'Datos Actividad'!$H8*'FE Sectorial'!$H11*'FE Sectorial'!O11/1000/1000</f>
        <v>20148.957775999999</v>
      </c>
      <c r="O12" s="92">
        <f>IF(D12&lt;400,H12+I12*'Factores generales'!$M$41+J12*'Factores generales'!$N$41,I12*'Factores generales'!$M$41+J12*'Factores generales'!$N$41)</f>
        <v>7822203.2016015006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Actividad'!$H9*'FE Sectorial'!$H12*'FE Sectorial'!I12*'FE Sectorial'!$P12/1000</f>
        <v>25153578.157271255</v>
      </c>
      <c r="I13" s="17">
        <f>'Datos Actividad'!$H9*'FE Sectorial'!$H12*'FE Sectorial'!J12/1000/1000</f>
        <v>450.62349460799999</v>
      </c>
      <c r="J13" s="17">
        <f>'Datos Actividad'!$H9*'FE Sectorial'!$H12*'FE Sectorial'!K12/1000/1000</f>
        <v>45.062349460799993</v>
      </c>
      <c r="K13" s="17">
        <f>'Datos Actividad'!$H9*'FE Sectorial'!$H12*'FE Sectorial'!L12/1000/1000</f>
        <v>67593.524191200006</v>
      </c>
      <c r="L13" s="17">
        <f>'Datos Actividad'!$H9*'FE Sectorial'!$H12*'FE Sectorial'!M12/1000/1000</f>
        <v>9012.4698921600011</v>
      </c>
      <c r="M13" s="17">
        <f>'Datos Actividad'!$H9*'FE Sectorial'!$H12*'FE Sectorial'!N12/1000/1000</f>
        <v>2253.1174730400003</v>
      </c>
      <c r="N13" s="17">
        <f>'Datos Actividad'!$H9*'FE Sectorial'!$H12*'FE Sectorial'!O12/1000/1000</f>
        <v>0</v>
      </c>
      <c r="O13" s="17">
        <f>IF(D13&lt;400,H13+I13*'Factores generales'!$M$41+J13*'Factores generales'!$N$41,I13*'Factores generales'!$M$41+J13*'Factores generales'!$N$41)</f>
        <v>25177010.578990873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Actividad'!$H10*'FE Sectorial'!$H13*'FE Sectorial'!I13*'FE Sectorial'!$P13/1000</f>
        <v>15147.606474</v>
      </c>
      <c r="I14" s="147">
        <f>'Datos Actividad'!$H10*'FE Sectorial'!$H13*'FE Sectorial'!J13/1000/1000</f>
        <v>0.61945799999999995</v>
      </c>
      <c r="J14" s="147">
        <f>'Datos Actividad'!$H10*'FE Sectorial'!$H13*'FE Sectorial'!K13/1000/1000</f>
        <v>0.12389159999999999</v>
      </c>
      <c r="K14" s="147">
        <f>'Datos Actividad'!$H10*'FE Sectorial'!$H13*'FE Sectorial'!L13/1000/1000</f>
        <v>41.297199999999997</v>
      </c>
      <c r="L14" s="147">
        <f>'Datos Actividad'!$H10*'FE Sectorial'!$H13*'FE Sectorial'!M13/1000/1000</f>
        <v>3.0972900000000001</v>
      </c>
      <c r="M14" s="147">
        <f>'Datos Actividad'!$H10*'FE Sectorial'!$H13*'FE Sectorial'!N13/1000/1000</f>
        <v>1.03243</v>
      </c>
      <c r="N14" s="147">
        <f>'Datos Actividad'!$H10*'FE Sectorial'!$H13*'FE Sectorial'!O13/1000/1000</f>
        <v>0</v>
      </c>
      <c r="O14" s="92">
        <f>IF(D14&lt;400,H14+I14*'Factores generales'!$M$41+J14*'Factores generales'!$N$41,I14*'Factores generales'!$M$41+J14*'Factores generales'!$N$41)</f>
        <v>51.415013999999992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3865815.9163109432</v>
      </c>
      <c r="I17" s="134">
        <f t="shared" ref="I17:O17" si="5">SUM(I18:I25)</f>
        <v>71.537190320309065</v>
      </c>
      <c r="J17" s="134">
        <f t="shared" si="5"/>
        <v>7.739439715708806</v>
      </c>
      <c r="K17" s="134">
        <f t="shared" si="5"/>
        <v>10242.477978314779</v>
      </c>
      <c r="L17" s="134">
        <f t="shared" si="5"/>
        <v>1342.8857038544968</v>
      </c>
      <c r="M17" s="134">
        <f t="shared" si="5"/>
        <v>338.1619288122821</v>
      </c>
      <c r="N17" s="134">
        <f t="shared" si="5"/>
        <v>235.70510108509424</v>
      </c>
      <c r="O17" s="134">
        <f t="shared" si="5"/>
        <v>3869717.423619539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Actividad'!$H14*'FE Sectorial'!$H17*'FE Sectorial'!I17*'FE Sectorial'!P17/1000</f>
        <v>1665542.5384062962</v>
      </c>
      <c r="I18" s="17">
        <f>'Datos Actividad'!$H14*'FE Sectorial'!$H17*'FE Sectorial'!J17/1000/1000</f>
        <v>29.838005328000001</v>
      </c>
      <c r="J18" s="17">
        <f>'Datos Actividad'!$H14*'FE Sectorial'!$H17*'FE Sectorial'!K17/1000/1000</f>
        <v>2.9838005328000006</v>
      </c>
      <c r="K18" s="17">
        <f>'Datos Actividad'!$H14*'FE Sectorial'!$H17*'FE Sectorial'!L17/1000/1000</f>
        <v>4475.7007991999999</v>
      </c>
      <c r="L18" s="17">
        <f>'Datos Actividad'!$H14*'FE Sectorial'!$H17*'FE Sectorial'!M17/1000/1000</f>
        <v>596.76010656000005</v>
      </c>
      <c r="M18" s="17">
        <f>'Datos Actividad'!$H14*'FE Sectorial'!$H17*'FE Sectorial'!N17/1000/1000</f>
        <v>149.19002664000001</v>
      </c>
      <c r="N18" s="17">
        <f>'Datos Actividad'!$H14*'FE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1667094.1146833522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Actividad'!$H15*'FE Sectorial'!$H18*'FE Sectorial'!I18*'FE Sectorial'!P18/1000</f>
        <v>0</v>
      </c>
      <c r="I19" s="17">
        <f>'Datos Actividad'!$H15*'FE Sectorial'!$H18*'FE Sectorial'!J18/1000/1000</f>
        <v>0</v>
      </c>
      <c r="J19" s="17">
        <f>'Datos Actividad'!$H15*'FE Sectorial'!$H18*'FE Sectorial'!K18/1000/1000</f>
        <v>0</v>
      </c>
      <c r="K19" s="17">
        <f>'Datos Actividad'!$H15*'FE Sectorial'!$H18*'FE Sectorial'!L18/1000/1000</f>
        <v>0</v>
      </c>
      <c r="L19" s="17">
        <f>'Datos Actividad'!$H15*'FE Sectorial'!$H18*'FE Sectorial'!M18/1000/1000</f>
        <v>0</v>
      </c>
      <c r="M19" s="17">
        <f>'Datos Actividad'!$H15*'FE Sectorial'!$H18*'FE Sectorial'!N18/1000/1000</f>
        <v>0</v>
      </c>
      <c r="N19" s="17">
        <f>'Datos Actividad'!$H15*'FE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Actividad'!$H16*'FE Sectorial'!$H19*'FE Sectorial'!I19*'FE Sectorial'!P19/1000</f>
        <v>2054175.4520497408</v>
      </c>
      <c r="I20" s="17">
        <f>'Datos Actividad'!$H16*'FE Sectorial'!$H19*'FE Sectorial'!J19/1000/1000</f>
        <v>35.841978155530093</v>
      </c>
      <c r="J20" s="17">
        <f>'Datos Actividad'!$H16*'FE Sectorial'!$H19*'FE Sectorial'!K19/1000/1000</f>
        <v>3.5841978155530096</v>
      </c>
      <c r="K20" s="17">
        <f>'Datos Actividad'!$H16*'FE Sectorial'!$H19*'FE Sectorial'!L19/1000/1000</f>
        <v>5376.296723329514</v>
      </c>
      <c r="L20" s="17">
        <f>'Datos Actividad'!$H16*'FE Sectorial'!$H19*'FE Sectorial'!M19/1000/1000</f>
        <v>716.83956311060183</v>
      </c>
      <c r="M20" s="17">
        <f>'Datos Actividad'!$H16*'FE Sectorial'!$H19*'FE Sectorial'!N19/1000/1000</f>
        <v>179.20989077765046</v>
      </c>
      <c r="N20" s="17">
        <f>'Datos Actividad'!$H16*'FE Sectorial'!$H19*'FE Sectorial'!O19/1000/1000</f>
        <v>0</v>
      </c>
      <c r="O20" s="87">
        <f>IF(D20&lt;400,H20+I20*'Factores generales'!$M$41+J20*'Factores generales'!$N$41,I20*'Factores generales'!$M$41+J20*'Factores generales'!$N$41)</f>
        <v>2056039.2349138283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Actividad'!$H17*'FE Sectorial'!$H20*'FE Sectorial'!I20*'FE Sectorial'!P20/1000</f>
        <v>11774.260070388349</v>
      </c>
      <c r="I21" s="17">
        <f>'Datos Actividad'!$H17*'FE Sectorial'!$H20*'FE Sectorial'!J20/1000/1000</f>
        <v>0.49901504854368933</v>
      </c>
      <c r="J21" s="17">
        <f>'Datos Actividad'!$H17*'FE Sectorial'!$H20*'FE Sectorial'!K20/1000/1000</f>
        <v>9.9803009708737844E-2</v>
      </c>
      <c r="K21" s="17">
        <f>'Datos Actividad'!$H17*'FE Sectorial'!$H20*'FE Sectorial'!L20/1000/1000</f>
        <v>33.267669902912615</v>
      </c>
      <c r="L21" s="17">
        <f>'Datos Actividad'!$H17*'FE Sectorial'!$H20*'FE Sectorial'!M20/1000/1000</f>
        <v>2.4950752427184466</v>
      </c>
      <c r="M21" s="17">
        <f>'Datos Actividad'!$H17*'FE Sectorial'!$H20*'FE Sectorial'!N20/1000/1000</f>
        <v>0.8316917475728155</v>
      </c>
      <c r="N21" s="17">
        <f>'Datos Actividad'!$H17*'FE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Actividad'!$H18*'FE Sectorial'!$H21*'FE Sectorial'!I21*'FE Sectorial'!P21/1000</f>
        <v>0</v>
      </c>
      <c r="I22" s="17">
        <f>'Datos Actividad'!$H18*'FE Sectorial'!$H21*'FE Sectorial'!J21/1000/1000</f>
        <v>0</v>
      </c>
      <c r="J22" s="17">
        <f>'Datos Actividad'!$H18*'FE Sectorial'!$H21*'FE Sectorial'!K21/1000/1000</f>
        <v>0</v>
      </c>
      <c r="K22" s="17">
        <f>'Datos Actividad'!$H18*'FE Sectorial'!$H21*'FE Sectorial'!L21/1000/1000</f>
        <v>0</v>
      </c>
      <c r="L22" s="17">
        <f>'Datos Actividad'!$H18*'FE Sectorial'!$H21*'FE Sectorial'!M21/1000/1000</f>
        <v>0</v>
      </c>
      <c r="M22" s="17">
        <f>'Datos Actividad'!$H18*'FE Sectorial'!$H21*'FE Sectorial'!N21/1000/1000</f>
        <v>0</v>
      </c>
      <c r="N22" s="17">
        <f>'Datos Actividad'!$H18*'FE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Actividad'!$H19*'FE Sectorial'!$H22*'FE Sectorial'!I22*'FE Sectorial'!P22/1000</f>
        <v>56928.310094117638</v>
      </c>
      <c r="I23" s="17">
        <f>'Datos Actividad'!$H19*'FE Sectorial'!$H22*'FE Sectorial'!J22/1000/1000</f>
        <v>2.3280705882352941</v>
      </c>
      <c r="J23" s="17">
        <f>'Datos Actividad'!$H19*'FE Sectorial'!$H22*'FE Sectorial'!K22/1000/1000</f>
        <v>0.46561411764705879</v>
      </c>
      <c r="K23" s="17">
        <f>'Datos Actividad'!$H19*'FE Sectorial'!$H22*'FE Sectorial'!L22/1000/1000</f>
        <v>155.20470588235295</v>
      </c>
      <c r="L23" s="17">
        <f>'Datos Actividad'!$H19*'FE Sectorial'!$H22*'FE Sectorial'!M22/1000/1000</f>
        <v>11.64035294117647</v>
      </c>
      <c r="M23" s="17">
        <f>'Datos Actividad'!$H19*'FE Sectorial'!$H22*'FE Sectorial'!N22/1000/1000</f>
        <v>3.8801176470588232</v>
      </c>
      <c r="N23" s="17">
        <f>'Datos Actividad'!$H19*'FE Sectorial'!$H22*'FE Sectorial'!O22/1000/1000</f>
        <v>28.153411764705883</v>
      </c>
      <c r="O23" s="87">
        <f>IF(D23&lt;400,H23+I23*'Factores generales'!$M$41+J23*'Factores generales'!$N$41,I23*'Factores generales'!$M$41+J23*'Factores generales'!$N$41)</f>
        <v>57121.539952941166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Actividad'!$H20*'FE Sectorial'!$H23*'FE Sectorial'!I23*'FE Sectorial'!P23/1000</f>
        <v>77395.355690399985</v>
      </c>
      <c r="I24" s="17">
        <f>'Datos Actividad'!$H20*'FE Sectorial'!$H23*'FE Sectorial'!J23/1000/1000</f>
        <v>3.0301211999999995</v>
      </c>
      <c r="J24" s="17">
        <f>'Datos Actividad'!$H20*'FE Sectorial'!$H23*'FE Sectorial'!K23/1000/1000</f>
        <v>0.60602423999999988</v>
      </c>
      <c r="K24" s="17">
        <f>'Datos Actividad'!$H20*'FE Sectorial'!$H23*'FE Sectorial'!L23/1000/1000</f>
        <v>202.00807999999995</v>
      </c>
      <c r="L24" s="17">
        <f>'Datos Actividad'!$H20*'FE Sectorial'!$H23*'FE Sectorial'!M23/1000/1000</f>
        <v>15.150605999999998</v>
      </c>
      <c r="M24" s="17">
        <f>'Datos Actividad'!$H20*'FE Sectorial'!$H23*'FE Sectorial'!N23/1000/1000</f>
        <v>5.0502020000000005</v>
      </c>
      <c r="N24" s="17">
        <f>'Datos Actividad'!$H20*'FE Sectorial'!$H23*'FE Sectorial'!O23/1000/1000</f>
        <v>200.00800000000001</v>
      </c>
      <c r="O24" s="87">
        <f>IF(D24&lt;400,H24+I24*'Factores generales'!$M$41+J24*'Factores generales'!$N$41,I24*'Factores generales'!$M$41+J24*'Factores generales'!$N$41)</f>
        <v>77646.855749999988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Actividad'!$H21*'FE Sectorial'!$H24*'FE Sectorial'!I24*'FE Sectorial'!P24/1000</f>
        <v>0</v>
      </c>
      <c r="I25" s="17">
        <f>'Datos Actividad'!$H21*'FE Sectorial'!$H24*'FE Sectorial'!J24/1000/1000</f>
        <v>0</v>
      </c>
      <c r="J25" s="17">
        <f>'Datos Actividad'!$H21*'FE Sectorial'!$H24*'FE Sectorial'!K24/1000/1000</f>
        <v>0</v>
      </c>
      <c r="K25" s="17">
        <f>'Datos Actividad'!$H21*'FE Sectorial'!$H24*'FE Sectorial'!L24/1000/1000</f>
        <v>0</v>
      </c>
      <c r="L25" s="17">
        <f>'Datos Actividad'!$H21*'FE Sectorial'!$H24*'FE Sectorial'!M24/1000/1000</f>
        <v>0</v>
      </c>
      <c r="M25" s="17">
        <f>'Datos Actividad'!$H21*'FE Sectorial'!$H24*'FE Sectorial'!N24/1000/1000</f>
        <v>0</v>
      </c>
      <c r="N25" s="17">
        <f>'Datos Actividad'!$H21*'FE Sectorial'!$H24*'FE Sectorial'!O24/1000/1000</f>
        <v>0</v>
      </c>
      <c r="O25" s="87">
        <f>IF(D25&lt;400,H25+I25*'Factores generales'!$M$41+J25*'Factores generales'!$N$41,I25*'Factores generales'!$M$41+J25*'Factores generales'!$N$41)</f>
        <v>0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9256994.4502398018</v>
      </c>
      <c r="I26" s="134">
        <f t="shared" ref="I26:O26" si="6">I27+I28</f>
        <v>165.5639754</v>
      </c>
      <c r="J26" s="134">
        <f t="shared" si="6"/>
        <v>17.487661440000004</v>
      </c>
      <c r="K26" s="134">
        <f t="shared" si="6"/>
        <v>24908.812160000001</v>
      </c>
      <c r="L26" s="134">
        <f t="shared" si="6"/>
        <v>3307.2024630000001</v>
      </c>
      <c r="M26" s="134">
        <f t="shared" si="6"/>
        <v>826.91386699999998</v>
      </c>
      <c r="N26" s="134">
        <f t="shared" si="6"/>
        <v>621.52791999999999</v>
      </c>
      <c r="O26" s="134">
        <f t="shared" si="6"/>
        <v>9265892.4687696006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9256994.4502398018</v>
      </c>
      <c r="I28" s="15">
        <f t="shared" si="7"/>
        <v>165.5639754</v>
      </c>
      <c r="J28" s="15">
        <f t="shared" si="7"/>
        <v>17.487661440000004</v>
      </c>
      <c r="K28" s="15">
        <f t="shared" si="7"/>
        <v>24908.812160000001</v>
      </c>
      <c r="L28" s="15">
        <f t="shared" si="7"/>
        <v>3307.2024630000001</v>
      </c>
      <c r="M28" s="15">
        <f t="shared" si="7"/>
        <v>826.91386699999998</v>
      </c>
      <c r="N28" s="15">
        <f t="shared" si="7"/>
        <v>621.52791999999999</v>
      </c>
      <c r="O28" s="15">
        <f t="shared" si="7"/>
        <v>9265892.4687696006</v>
      </c>
    </row>
    <row r="29" spans="1:15" outlineLevel="1" x14ac:dyDescent="0.25">
      <c r="B29" s="1" t="s">
        <v>7</v>
      </c>
      <c r="G29" s="1"/>
      <c r="H29" s="95">
        <f t="shared" ref="H29:O29" si="8">H30+H31</f>
        <v>62571.768500999999</v>
      </c>
      <c r="I29" s="95">
        <f t="shared" si="8"/>
        <v>0.75632699999999997</v>
      </c>
      <c r="J29" s="95">
        <f t="shared" si="8"/>
        <v>0.9907716000000002</v>
      </c>
      <c r="K29" s="95">
        <f t="shared" si="8"/>
        <v>201.10240000000002</v>
      </c>
      <c r="L29" s="95">
        <f t="shared" si="8"/>
        <v>13.468245</v>
      </c>
      <c r="M29" s="95">
        <f t="shared" si="8"/>
        <v>3.4131249999999995</v>
      </c>
      <c r="N29" s="95">
        <f t="shared" si="8"/>
        <v>619.57791999999995</v>
      </c>
      <c r="O29" s="95">
        <f t="shared" si="8"/>
        <v>62894.790564000003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Actividad'!$H26*'FE Sectorial'!$H29*'FE Sectorial'!I29*'FE Sectorial'!P29/1000</f>
        <v>59868.415992000002</v>
      </c>
      <c r="I30" s="17">
        <f>'Datos Actividad'!$H26*'FE Sectorial'!$H29*'FE Sectorial'!J29/1000/1000</f>
        <v>0.64577399999999996</v>
      </c>
      <c r="J30" s="17">
        <f>'Datos Actividad'!$H26*'FE Sectorial'!$H29*'FE Sectorial'!K29/1000/1000</f>
        <v>0.96866100000000022</v>
      </c>
      <c r="K30" s="17">
        <f>'Datos Actividad'!$H26*'FE Sectorial'!$H29*'FE Sectorial'!L29/1000/1000</f>
        <v>193.73220000000001</v>
      </c>
      <c r="L30" s="17">
        <f>'Datos Actividad'!$H26*'FE Sectorial'!$H29*'FE Sectorial'!M29/1000/1000</f>
        <v>12.915479999999999</v>
      </c>
      <c r="M30" s="17">
        <f>'Datos Actividad'!$H26*'FE Sectorial'!$H29*'FE Sectorial'!N29/1000/1000</f>
        <v>3.2288699999999997</v>
      </c>
      <c r="N30" s="17">
        <f>'Datos Actividad'!$H26*'FE Sectorial'!$H29*'FE Sectorial'!O29/1000/1000</f>
        <v>618.24099999999999</v>
      </c>
      <c r="O30" s="87">
        <f>IF(D30&lt;400,H30+I30*'Factores generales'!$M$41+J30*'Factores generales'!$N$41,I30*'Factores generales'!$M$41+J30*'Factores generales'!$N$41)</f>
        <v>60182.262156000004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Actividad'!$H27*'FE Sectorial'!$H30*'FE Sectorial'!I30*'FE Sectorial'!P30/1000</f>
        <v>2703.3525089999998</v>
      </c>
      <c r="I31" s="17">
        <f>'Datos Actividad'!$H27*'FE Sectorial'!$H30*'FE Sectorial'!J30/1000/1000</f>
        <v>0.110553</v>
      </c>
      <c r="J31" s="17">
        <f>'Datos Actividad'!$H27*'FE Sectorial'!$H30*'FE Sectorial'!K30/1000/1000</f>
        <v>2.2110599999999998E-2</v>
      </c>
      <c r="K31" s="17">
        <f>'Datos Actividad'!$H27*'FE Sectorial'!$H30*'FE Sectorial'!L30/1000/1000</f>
        <v>7.3701999999999996</v>
      </c>
      <c r="L31" s="17">
        <f>'Datos Actividad'!$H27*'FE Sectorial'!$H30*'FE Sectorial'!M30/1000/1000</f>
        <v>0.55276499999999995</v>
      </c>
      <c r="M31" s="17">
        <f>'Datos Actividad'!$H27*'FE Sectorial'!$H30*'FE Sectorial'!N30/1000/1000</f>
        <v>0.184255</v>
      </c>
      <c r="N31" s="17">
        <f>'Datos Actividad'!$H27*'FE Sectorial'!$H30*'FE Sectorial'!O30/1000/1000</f>
        <v>1.3369200000000001</v>
      </c>
      <c r="O31" s="87">
        <f>IF(D31&lt;400,H31+I31*'Factores generales'!$M$41+J31*'Factores generales'!$N$41,I31*'Factores generales'!$M$41+J31*'Factores generales'!$N$41)</f>
        <v>2712.5284079999997</v>
      </c>
    </row>
    <row r="32" spans="1:15" outlineLevel="1" x14ac:dyDescent="0.25">
      <c r="B32" s="1" t="s">
        <v>6</v>
      </c>
      <c r="G32" s="1"/>
      <c r="H32" s="17">
        <f>H33+H34+H35</f>
        <v>9194422.6817388013</v>
      </c>
      <c r="I32" s="17">
        <f t="shared" ref="I32:O32" si="9">I33+I34+I35</f>
        <v>164.80764840000001</v>
      </c>
      <c r="J32" s="17">
        <f t="shared" si="9"/>
        <v>16.496889840000005</v>
      </c>
      <c r="K32" s="17">
        <f t="shared" si="9"/>
        <v>24707.709760000002</v>
      </c>
      <c r="L32" s="17">
        <f t="shared" si="9"/>
        <v>3293.7342180000001</v>
      </c>
      <c r="M32" s="17">
        <f t="shared" si="9"/>
        <v>823.50074199999995</v>
      </c>
      <c r="N32" s="17">
        <f t="shared" si="9"/>
        <v>1.95</v>
      </c>
      <c r="O32" s="17">
        <f t="shared" si="9"/>
        <v>9202997.6782056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Actividad'!$H29*'FE Sectorial'!$H32*'FE Sectorial'!I32*'FE Sectorial'!P32/1000</f>
        <v>9190479.6354888007</v>
      </c>
      <c r="I33" s="17">
        <f>'Datos Actividad'!$H29*'FE Sectorial'!$H32*'FE Sectorial'!J32/1000/1000</f>
        <v>164.64639840000001</v>
      </c>
      <c r="J33" s="17">
        <f>'Datos Actividad'!$H29*'FE Sectorial'!$H32*'FE Sectorial'!K32/1000/1000</f>
        <v>16.464639840000004</v>
      </c>
      <c r="K33" s="17">
        <f>'Datos Actividad'!$H29*'FE Sectorial'!$H32*'FE Sectorial'!L32/1000/1000</f>
        <v>24696.959760000002</v>
      </c>
      <c r="L33" s="17">
        <f>'Datos Actividad'!$H29*'FE Sectorial'!$H32*'FE Sectorial'!M32/1000/1000</f>
        <v>3292.927968</v>
      </c>
      <c r="M33" s="17">
        <f>'Datos Actividad'!$H29*'FE Sectorial'!$H32*'FE Sectorial'!N32/1000/1000</f>
        <v>823.23199199999999</v>
      </c>
      <c r="N33" s="17">
        <f>'Datos Actividad'!$H29*'FE Sectorial'!$H32*'FE Sectorial'!O32/1000/1000</f>
        <v>0</v>
      </c>
      <c r="O33" s="87">
        <f>IF(D33&lt;400,H33+I33*'Factores generales'!$M$41+J33*'Factores generales'!$N$41,I33*'Factores generales'!$M$41+J33*'Factores generales'!$N$41)</f>
        <v>9199041.2482056003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Actividad'!$H30*'FE Sectorial'!$H33*'FE Sectorial'!I33*'FE Sectorial'!P33/1000</f>
        <v>3943.0462499999994</v>
      </c>
      <c r="I34" s="17">
        <f>'Datos Actividad'!$H30*'FE Sectorial'!$H33*'FE Sectorial'!J33/1000/1000</f>
        <v>0.16125</v>
      </c>
      <c r="J34" s="17">
        <f>'Datos Actividad'!$H30*'FE Sectorial'!$H33*'FE Sectorial'!K33/1000/1000</f>
        <v>3.2250000000000001E-2</v>
      </c>
      <c r="K34" s="17">
        <f>'Datos Actividad'!$H30*'FE Sectorial'!$H33*'FE Sectorial'!L33/1000/1000</f>
        <v>10.75</v>
      </c>
      <c r="L34" s="17">
        <f>'Datos Actividad'!$H30*'FE Sectorial'!$H33*'FE Sectorial'!M33/1000/1000</f>
        <v>0.80625000000000002</v>
      </c>
      <c r="M34" s="17">
        <f>'Datos Actividad'!$H30*'FE Sectorial'!$H33*'FE Sectorial'!N33/1000/1000</f>
        <v>0.26874999999999999</v>
      </c>
      <c r="N34" s="17">
        <f>'Datos Actividad'!$H30*'FE Sectorial'!$H33*'FE Sectorial'!O33/1000/1000</f>
        <v>1.95</v>
      </c>
      <c r="O34" s="87">
        <f>IF(D34&lt;400,H34+I34*'Factores generales'!$M$41+J34*'Factores generales'!$N$41,I34*'Factores generales'!$M$41+J34*'Factores generales'!$N$41)</f>
        <v>3956.4299999999994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Actividad'!$H31*'FE Sectorial'!$H34*'FE Sectorial'!I34*'FE Sectorial'!P34/1000</f>
        <v>0</v>
      </c>
      <c r="I35" s="17">
        <f>'Datos Actividad'!$H31*'FE Sectorial'!$H34*'FE Sectorial'!J34/1000/1000</f>
        <v>0</v>
      </c>
      <c r="J35" s="17">
        <f>'Datos Actividad'!$H31*'FE Sectorial'!$H34*'FE Sectorial'!K34/1000/1000</f>
        <v>0</v>
      </c>
      <c r="K35" s="17">
        <f>'Datos Actividad'!$H31*'FE Sectorial'!$H34*'FE Sectorial'!L34/1000/1000</f>
        <v>0</v>
      </c>
      <c r="L35" s="17">
        <f>'Datos Actividad'!$H31*'FE Sectorial'!$H34*'FE Sectorial'!M34/1000/1000</f>
        <v>0</v>
      </c>
      <c r="M35" s="17">
        <f>'Datos Actividad'!$H31*'FE Sectorial'!$H34*'FE Sectorial'!N34/1000/1000</f>
        <v>0</v>
      </c>
      <c r="N35" s="17">
        <f>'Datos Actividad'!$H31*'FE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24236777.425189964</v>
      </c>
      <c r="I36" s="129">
        <f t="shared" si="10"/>
        <v>3349.4682841598028</v>
      </c>
      <c r="J36" s="129">
        <f t="shared" si="10"/>
        <v>478.94326292426399</v>
      </c>
      <c r="K36" s="129">
        <f t="shared" si="10"/>
        <v>70960.558410106605</v>
      </c>
      <c r="L36" s="129">
        <f t="shared" si="10"/>
        <v>376805.54533275857</v>
      </c>
      <c r="M36" s="129">
        <f t="shared" si="10"/>
        <v>7230.8057642376134</v>
      </c>
      <c r="N36" s="129">
        <f t="shared" si="10"/>
        <v>5018.874134503194</v>
      </c>
      <c r="O36" s="129">
        <f t="shared" si="10"/>
        <v>24455588.670663841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7884974.319095064</v>
      </c>
      <c r="I37" s="134">
        <f t="shared" ref="I37:O37" si="11">SUM(I38:I44)</f>
        <v>89.556552095443607</v>
      </c>
      <c r="J37" s="134">
        <f t="shared" si="11"/>
        <v>42.381585233285406</v>
      </c>
      <c r="K37" s="134">
        <f t="shared" si="11"/>
        <v>16970.984074003081</v>
      </c>
      <c r="L37" s="134">
        <f t="shared" si="11"/>
        <v>5535.3470106125405</v>
      </c>
      <c r="M37" s="134">
        <f t="shared" si="11"/>
        <v>803.86406644587191</v>
      </c>
      <c r="N37" s="134">
        <f t="shared" si="11"/>
        <v>30.468639999999997</v>
      </c>
      <c r="O37" s="134">
        <f t="shared" si="11"/>
        <v>7899993.2981113847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Actividad'!$H34*'FE Sectorial'!$H37*'FE Sectorial'!I37*'FE Sectorial'!P37/1000</f>
        <v>2658095.8451902806</v>
      </c>
      <c r="I38" s="17">
        <f>'Datos Actividad'!$H34*'FE Sectorial'!$H37*'FE Sectorial'!J37/1000/1000</f>
        <v>47.619485040000008</v>
      </c>
      <c r="J38" s="17">
        <f>'Datos Actividad'!$H34*'FE Sectorial'!$H37*'FE Sectorial'!K37/1000/1000</f>
        <v>4.7619485040000011</v>
      </c>
      <c r="K38" s="17">
        <f>'Datos Actividad'!$H34*'FE Sectorial'!$H37*'FE Sectorial'!L37/1000/1000</f>
        <v>7142.9227560000008</v>
      </c>
      <c r="L38" s="17">
        <f>'Datos Actividad'!$H34*'FE Sectorial'!$H37*'FE Sectorial'!M37/1000/1000</f>
        <v>1428.5845512000003</v>
      </c>
      <c r="M38" s="17">
        <f>'Datos Actividad'!$H34*'FE Sectorial'!$H37*'FE Sectorial'!N37/1000/1000</f>
        <v>238.09742520000006</v>
      </c>
      <c r="N38" s="17">
        <f>'Datos Actividad'!$H34*'FE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2660572.0584123605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Actividad'!$H35*'FE Sectorial'!$H38*'FE Sectorial'!I38*'FE Sectorial'!P38/1000</f>
        <v>2602469.6067825002</v>
      </c>
      <c r="I39" s="17">
        <f>'Datos Actividad'!$H35*'FE Sectorial'!$H38*'FE Sectorial'!J38/1000/1000</f>
        <v>10.059797475000002</v>
      </c>
      <c r="J39" s="17">
        <f>'Datos Actividad'!$H35*'FE Sectorial'!$H38*'FE Sectorial'!K38/1000/1000</f>
        <v>1.0059797475000001</v>
      </c>
      <c r="K39" s="17">
        <f>'Datos Actividad'!$H35*'FE Sectorial'!$H38*'FE Sectorial'!L38/1000/1000</f>
        <v>1508.9696212500003</v>
      </c>
      <c r="L39" s="17">
        <f>'Datos Actividad'!$H35*'FE Sectorial'!$H38*'FE Sectorial'!M38/1000/1000</f>
        <v>301.79392425000003</v>
      </c>
      <c r="M39" s="17">
        <f>'Datos Actividad'!$H35*'FE Sectorial'!$H38*'FE Sectorial'!N38/1000/1000</f>
        <v>50.298987375000003</v>
      </c>
      <c r="N39" s="17">
        <f>'Datos Actividad'!$H35*'FE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2602992.7162512001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Actividad'!$H36*'FE Sectorial'!$H39*'FE Sectorial'!I39*'FE Sectorial'!P39/1000</f>
        <v>334368.78495395766</v>
      </c>
      <c r="I40" s="17">
        <f>'Datos Actividad'!$H36*'FE Sectorial'!$H39*'FE Sectorial'!J39/1000/1000</f>
        <v>7.568671849200002</v>
      </c>
      <c r="J40" s="17">
        <f>'Datos Actividad'!$H36*'FE Sectorial'!$H39*'FE Sectorial'!K39/1000/1000</f>
        <v>0.75686718492000027</v>
      </c>
      <c r="K40" s="17">
        <f>'Datos Actividad'!$H36*'FE Sectorial'!$H39*'FE Sectorial'!L39/1000/1000</f>
        <v>1135.3007773800002</v>
      </c>
      <c r="L40" s="17">
        <f>'Datos Actividad'!$H36*'FE Sectorial'!$H39*'FE Sectorial'!M39/1000/1000</f>
        <v>227.06015547600006</v>
      </c>
      <c r="M40" s="17">
        <f>'Datos Actividad'!$H36*'FE Sectorial'!$H39*'FE Sectorial'!N39/1000/1000</f>
        <v>37.843359246000006</v>
      </c>
      <c r="N40" s="17">
        <f>'Datos Actividad'!$H36*'FE Sectorial'!$H39*'FE Sectorial'!O39/1000/1000</f>
        <v>0</v>
      </c>
      <c r="O40" s="87">
        <f>IF(D40&lt;400,H40+I40*'Factores generales'!$M$41+J40*'Factores generales'!$N$41,I40*'Factores generales'!$M$41+J40*'Factores generales'!$N$41)</f>
        <v>334762.35589011601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Actividad'!$H37*'FE Sectorial'!$H40*'FE Sectorial'!I40*'FE Sectorial'!P40/1000</f>
        <v>138.79522799999998</v>
      </c>
      <c r="I41" s="17">
        <f>'Datos Actividad'!$H37*'FE Sectorial'!$H40*'FE Sectorial'!J40/1000/1000</f>
        <v>5.6760000000000005E-3</v>
      </c>
      <c r="J41" s="17">
        <f>'Datos Actividad'!$H37*'FE Sectorial'!$H40*'FE Sectorial'!K40/1000/1000</f>
        <v>1.1352000000000001E-3</v>
      </c>
      <c r="K41" s="17">
        <f>'Datos Actividad'!$H37*'FE Sectorial'!$H40*'FE Sectorial'!L40/1000/1000</f>
        <v>0.37839999999999996</v>
      </c>
      <c r="L41" s="17">
        <f>'Datos Actividad'!$H37*'FE Sectorial'!$H40*'FE Sectorial'!M40/1000/1000</f>
        <v>1.8920000000000003E-2</v>
      </c>
      <c r="M41" s="17">
        <f>'Datos Actividad'!$H37*'FE Sectorial'!$H40*'FE Sectorial'!N40/1000/1000</f>
        <v>9.4600000000000014E-3</v>
      </c>
      <c r="N41" s="17">
        <f>'Datos Actividad'!$H37*'FE Sectorial'!$H40*'FE Sectorial'!O40/1000/1000</f>
        <v>6.8640000000000007E-2</v>
      </c>
      <c r="O41" s="87">
        <f>IF(D41&lt;400,H41+I41*'Factores generales'!$M$41+J41*'Factores generales'!$N$41,I41*'Factores generales'!$M$41+J41*'Factores generales'!$N$41)</f>
        <v>139.26633599999997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Actividad'!$H38*'FE Sectorial'!$H41*'FE Sectorial'!I41*'FE Sectorial'!P41/1000</f>
        <v>11763.623519999999</v>
      </c>
      <c r="I42" s="17">
        <f>'Datos Actividad'!$H38*'FE Sectorial'!$H41*'FE Sectorial'!J41/1000/1000</f>
        <v>0.46056000000000002</v>
      </c>
      <c r="J42" s="17">
        <f>'Datos Actividad'!$H38*'FE Sectorial'!$H41*'FE Sectorial'!K41/1000/1000</f>
        <v>9.2111999999999999E-2</v>
      </c>
      <c r="K42" s="17">
        <f>'Datos Actividad'!$H38*'FE Sectorial'!$H41*'FE Sectorial'!L41/1000/1000</f>
        <v>30.704000000000001</v>
      </c>
      <c r="L42" s="17">
        <f>'Datos Actividad'!$H38*'FE Sectorial'!$H41*'FE Sectorial'!M41/1000/1000</f>
        <v>1.5352000000000001</v>
      </c>
      <c r="M42" s="17">
        <f>'Datos Actividad'!$H38*'FE Sectorial'!$H41*'FE Sectorial'!N41/1000/1000</f>
        <v>0.76760000000000006</v>
      </c>
      <c r="N42" s="17">
        <f>'Datos Actividad'!$H38*'FE Sectorial'!$H41*'FE Sectorial'!O41/1000/1000</f>
        <v>30.4</v>
      </c>
      <c r="O42" s="87">
        <f>IF(D42&lt;400,H42+I42*'Factores generales'!$M$41+J42*'Factores generales'!$N$41,I42*'Factores generales'!$M$41+J42*'Factores generales'!$N$41)</f>
        <v>11801.849999999999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Actividad'!$H39*'FE Sectorial'!$H42*'FE Sectorial'!I42*'FE Sectorial'!P42/1000</f>
        <v>1713994.5384203258</v>
      </c>
      <c r="I43" s="17">
        <f>'Datos Actividad'!$H39*'FE Sectorial'!$H42*'FE Sectorial'!J42/1000/1000</f>
        <v>17.938195064576931</v>
      </c>
      <c r="J43" s="17">
        <f>'Datos Actividad'!$H39*'FE Sectorial'!$H42*'FE Sectorial'!K42/1000/1000</f>
        <v>26.907292596865403</v>
      </c>
      <c r="K43" s="17">
        <f>'Datos Actividad'!$H39*'FE Sectorial'!$H42*'FE Sectorial'!L42/1000/1000</f>
        <v>5381.45851937308</v>
      </c>
      <c r="L43" s="17">
        <f>'Datos Actividad'!$H39*'FE Sectorial'!$H42*'FE Sectorial'!M42/1000/1000</f>
        <v>2690.72925968654</v>
      </c>
      <c r="M43" s="17">
        <f>'Datos Actividad'!$H39*'FE Sectorial'!$H42*'FE Sectorial'!N42/1000/1000</f>
        <v>358.76390129153862</v>
      </c>
      <c r="N43" s="17">
        <f>'Datos Actividad'!$H39*'FE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1722712.5012217101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Actividad'!$H40*'FE Sectorial'!$H43*'FE Sectorial'!I43*'FE Sectorial'!P43/1000</f>
        <v>564143.12499999988</v>
      </c>
      <c r="I44" s="17">
        <f>'Datos Actividad'!$H40*'FE Sectorial'!$H43*'FE Sectorial'!J43/1000/1000</f>
        <v>5.9041666666666659</v>
      </c>
      <c r="J44" s="17">
        <f>'Datos Actividad'!$H40*'FE Sectorial'!$H43*'FE Sectorial'!K43/1000/1000</f>
        <v>8.8562499999999993</v>
      </c>
      <c r="K44" s="17">
        <f>'Datos Actividad'!$H40*'FE Sectorial'!$H43*'FE Sectorial'!L43/1000/1000</f>
        <v>1771.2499999999998</v>
      </c>
      <c r="L44" s="17">
        <f>'Datos Actividad'!$H40*'FE Sectorial'!$H43*'FE Sectorial'!M43/1000/1000</f>
        <v>885.62499999999989</v>
      </c>
      <c r="M44" s="17">
        <f>'Datos Actividad'!$H40*'FE Sectorial'!$H43*'FE Sectorial'!N43/1000/1000</f>
        <v>118.08333333333331</v>
      </c>
      <c r="N44" s="17">
        <f>'Datos Actividad'!$H40*'FE Sectorial'!$H43*'FE Sectorial'!O43/1000/1000</f>
        <v>0</v>
      </c>
      <c r="O44" s="87">
        <f>IF(D44&lt;400,H44+I44*'Factores generales'!$M$41+J44*'Factores generales'!$N$41,I44*'Factores generales'!$M$41+J44*'Factores generales'!$N$41)</f>
        <v>567012.54999999993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923008.72950158385</v>
      </c>
      <c r="I45" s="134">
        <f t="shared" ref="I45:O45" si="12">I46</f>
        <v>16.535596511999998</v>
      </c>
      <c r="J45" s="134">
        <f t="shared" si="12"/>
        <v>1.6535596511999999</v>
      </c>
      <c r="K45" s="134">
        <f t="shared" si="12"/>
        <v>2480.3394767999998</v>
      </c>
      <c r="L45" s="134">
        <f t="shared" si="12"/>
        <v>496.06789535999997</v>
      </c>
      <c r="M45" s="134">
        <f t="shared" si="12"/>
        <v>82.67798255999999</v>
      </c>
      <c r="N45" s="134">
        <f t="shared" si="12"/>
        <v>0</v>
      </c>
      <c r="O45" s="134">
        <f t="shared" si="12"/>
        <v>923868.58052020776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Actividad'!$H42*'FE Sectorial'!$H45*'FE Sectorial'!I45*'FE Sectorial'!P45/1000</f>
        <v>923008.72950158385</v>
      </c>
      <c r="I46" s="17">
        <f>'Datos Actividad'!$H42*'FE Sectorial'!$H45*'FE Sectorial'!J45/1000/1000</f>
        <v>16.535596511999998</v>
      </c>
      <c r="J46" s="17">
        <f>'Datos Actividad'!$H42*'FE Sectorial'!$H45*'FE Sectorial'!K45/1000/1000</f>
        <v>1.6535596511999999</v>
      </c>
      <c r="K46" s="17">
        <f>'Datos Actividad'!$H42*'FE Sectorial'!$H45*'FE Sectorial'!L45/1000/1000</f>
        <v>2480.3394767999998</v>
      </c>
      <c r="L46" s="17">
        <f>'Datos Actividad'!$H42*'FE Sectorial'!$H45*'FE Sectorial'!M45/1000/1000</f>
        <v>496.06789535999997</v>
      </c>
      <c r="M46" s="17">
        <f>'Datos Actividad'!$H42*'FE Sectorial'!$H45*'FE Sectorial'!N45/1000/1000</f>
        <v>82.67798255999999</v>
      </c>
      <c r="N46" s="17">
        <f>'Datos Actividad'!$H42*'FE Sectorial'!$H45*'FE Sectorial'!O45/1000/1000</f>
        <v>0</v>
      </c>
      <c r="O46" s="87">
        <f>IF(D46&lt;400,H46+I46*'Factores generales'!$M$41+J46*'Factores generales'!$N$41,I46*'Factores generales'!$M$41+J46*'Factores generales'!$N$41)</f>
        <v>923868.58052020776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1147733.5920755761</v>
      </c>
      <c r="I47" s="134">
        <f t="shared" ref="I47:O47" si="13">SUM(I48:I55)</f>
        <v>47.828262197999997</v>
      </c>
      <c r="J47" s="134">
        <f t="shared" si="13"/>
        <v>5.7070362598000006</v>
      </c>
      <c r="K47" s="134">
        <f t="shared" si="13"/>
        <v>3168.6696296999999</v>
      </c>
      <c r="L47" s="134">
        <f t="shared" si="13"/>
        <v>4242.3625219400001</v>
      </c>
      <c r="M47" s="134">
        <f t="shared" si="13"/>
        <v>147.85964299000003</v>
      </c>
      <c r="N47" s="134">
        <f t="shared" si="13"/>
        <v>9.8614399999999982</v>
      </c>
      <c r="O47" s="134">
        <f t="shared" si="13"/>
        <v>1150507.1668222724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Actividad'!$H44*'FE Sectorial'!$H47*'FE Sectorial'!I47*'FE Sectorial'!P47/1000</f>
        <v>1110536.3563984802</v>
      </c>
      <c r="I48" s="17">
        <f>'Datos Actividad'!$H44*'FE Sectorial'!$H47*'FE Sectorial'!J47/1000/1000</f>
        <v>19.89513264</v>
      </c>
      <c r="J48" s="17">
        <f>'Datos Actividad'!$H44*'FE Sectorial'!$H47*'FE Sectorial'!K47/1000/1000</f>
        <v>1.9895132640000002</v>
      </c>
      <c r="K48" s="17">
        <f>'Datos Actividad'!$H44*'FE Sectorial'!$H47*'FE Sectorial'!L47/1000/1000</f>
        <v>2984.2698960000002</v>
      </c>
      <c r="L48" s="17">
        <f>'Datos Actividad'!$H44*'FE Sectorial'!$H47*'FE Sectorial'!M47/1000/1000</f>
        <v>596.85397920000003</v>
      </c>
      <c r="M48" s="17">
        <f>'Datos Actividad'!$H44*'FE Sectorial'!$H47*'FE Sectorial'!N47/1000/1000</f>
        <v>99.475663200000014</v>
      </c>
      <c r="N48" s="17">
        <f>'Datos Actividad'!$H44*'FE Sectorial'!$H47*'FE Sectorial'!O47/1000/1000</f>
        <v>0</v>
      </c>
      <c r="O48" s="87">
        <f>IF(D48&lt;400,H48+I48*'Factores generales'!$M$41+J48*'Factores generales'!$N$41,I48*'Factores generales'!$M$41+J48*'Factores generales'!$N$41)</f>
        <v>1111570.9032957603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Actividad'!$H45*'FE Sectorial'!$H48*'FE Sectorial'!I48*'FE Sectorial'!P48/1000</f>
        <v>15421.865887296</v>
      </c>
      <c r="I49" s="17">
        <f>'Datos Actividad'!$H45*'FE Sectorial'!$H48*'FE Sectorial'!J48/1000/1000</f>
        <v>0.26908615800000002</v>
      </c>
      <c r="J49" s="17">
        <f>'Datos Actividad'!$H45*'FE Sectorial'!$H48*'FE Sectorial'!K48/1000/1000</f>
        <v>2.6908615800000001E-2</v>
      </c>
      <c r="K49" s="17">
        <f>'Datos Actividad'!$H45*'FE Sectorial'!$H48*'FE Sectorial'!L48/1000/1000</f>
        <v>40.362923699999996</v>
      </c>
      <c r="L49" s="17">
        <f>'Datos Actividad'!$H45*'FE Sectorial'!$H48*'FE Sectorial'!M48/1000/1000</f>
        <v>8.0725847399999999</v>
      </c>
      <c r="M49" s="17">
        <f>'Datos Actividad'!$H45*'FE Sectorial'!$H48*'FE Sectorial'!N48/1000/1000</f>
        <v>1.3454307900000002</v>
      </c>
      <c r="N49" s="17">
        <f>'Datos Actividad'!$H45*'FE Sectorial'!$H48*'FE Sectorial'!O48/1000/1000</f>
        <v>0</v>
      </c>
      <c r="O49" s="87">
        <f>IF(D49&lt;400,H49+I49*'Factores generales'!$M$41+J49*'Factores generales'!$N$41,I49*'Factores generales'!$M$41+J49*'Factores generales'!$N$41)</f>
        <v>15435.858367512001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Actividad'!$H46*'FE Sectorial'!$H49*'FE Sectorial'!I49*'FE Sectorial'!P49/1000</f>
        <v>1179.7594379999998</v>
      </c>
      <c r="I50" s="17">
        <f>'Datos Actividad'!$H46*'FE Sectorial'!$H49*'FE Sectorial'!J49/1000/1000</f>
        <v>4.8246000000000004E-2</v>
      </c>
      <c r="J50" s="17">
        <f>'Datos Actividad'!$H46*'FE Sectorial'!$H49*'FE Sectorial'!K49/1000/1000</f>
        <v>9.6491999999999984E-3</v>
      </c>
      <c r="K50" s="17">
        <f>'Datos Actividad'!$H46*'FE Sectorial'!$H49*'FE Sectorial'!L49/1000/1000</f>
        <v>3.2164000000000001</v>
      </c>
      <c r="L50" s="17">
        <f>'Datos Actividad'!$H46*'FE Sectorial'!$H49*'FE Sectorial'!M49/1000/1000</f>
        <v>0.16081999999999999</v>
      </c>
      <c r="M50" s="17">
        <f>'Datos Actividad'!$H46*'FE Sectorial'!$H49*'FE Sectorial'!N49/1000/1000</f>
        <v>8.0409999999999995E-2</v>
      </c>
      <c r="N50" s="17">
        <f>'Datos Actividad'!$H46*'FE Sectorial'!$H49*'FE Sectorial'!O49/1000/1000</f>
        <v>0.58344000000000007</v>
      </c>
      <c r="O50" s="87">
        <f>IF(D50&lt;400,H50+I50*'Factores generales'!$M$41+J50*'Factores generales'!$N$41,I50*'Factores generales'!$M$41+J50*'Factores generales'!$N$41)</f>
        <v>1183.7638559999998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Actividad'!$H47*'FE Sectorial'!$H50*'FE Sectorial'!I50*'FE Sectorial'!P50/1000</f>
        <v>17462.771667000001</v>
      </c>
      <c r="I51" s="17">
        <f>'Datos Actividad'!$H47*'FE Sectorial'!$H50*'FE Sectorial'!J50/1000/1000</f>
        <v>0.27954299999999999</v>
      </c>
      <c r="J51" s="17">
        <f>'Datos Actividad'!$H47*'FE Sectorial'!$H50*'FE Sectorial'!K50/1000/1000</f>
        <v>2.7954300000000005E-2</v>
      </c>
      <c r="K51" s="17">
        <f>'Datos Actividad'!$H47*'FE Sectorial'!$H50*'FE Sectorial'!L50/1000/1000</f>
        <v>41.931449999999998</v>
      </c>
      <c r="L51" s="17">
        <f>'Datos Actividad'!$H47*'FE Sectorial'!$H50*'FE Sectorial'!M50/1000/1000</f>
        <v>8.3862900000000007</v>
      </c>
      <c r="M51" s="17">
        <f>'Datos Actividad'!$H47*'FE Sectorial'!$H50*'FE Sectorial'!N50/1000/1000</f>
        <v>1.3977149999999998</v>
      </c>
      <c r="N51" s="17">
        <f>'Datos Actividad'!$H47*'FE Sectorial'!$H50*'FE Sectorial'!O50/1000/1000</f>
        <v>1.1820000000000002</v>
      </c>
      <c r="O51" s="87">
        <f>IF(D51&lt;400,H51+I51*'Factores generales'!$M$41+J51*'Factores generales'!$N$41,I51*'Factores generales'!$M$41+J51*'Factores generales'!$N$41)</f>
        <v>17477.307903000001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Actividad'!$H48*'FE Sectorial'!$H51*'FE Sectorial'!I51*'FE Sectorial'!P51/1000</f>
        <v>3132.8386848</v>
      </c>
      <c r="I52" s="17">
        <f>'Datos Actividad'!$H48*'FE Sectorial'!$H51*'FE Sectorial'!J51/1000/1000</f>
        <v>0.1226544</v>
      </c>
      <c r="J52" s="17">
        <f>'Datos Actividad'!$H48*'FE Sectorial'!$H51*'FE Sectorial'!K51/1000/1000</f>
        <v>2.4530879999999998E-2</v>
      </c>
      <c r="K52" s="17">
        <f>'Datos Actividad'!$H48*'FE Sectorial'!$H51*'FE Sectorial'!L51/1000/1000</f>
        <v>8.1769599999999993</v>
      </c>
      <c r="L52" s="17">
        <f>'Datos Actividad'!$H48*'FE Sectorial'!$H51*'FE Sectorial'!M51/1000/1000</f>
        <v>0.40884799999999993</v>
      </c>
      <c r="M52" s="17">
        <f>'Datos Actividad'!$H48*'FE Sectorial'!$H51*'FE Sectorial'!N51/1000/1000</f>
        <v>0.20442399999999997</v>
      </c>
      <c r="N52" s="17">
        <f>'Datos Actividad'!$H48*'FE Sectorial'!$H51*'FE Sectorial'!O51/1000/1000</f>
        <v>8.0959999999999983</v>
      </c>
      <c r="O52" s="87">
        <f>IF(D52&lt;400,H52+I52*'Factores generales'!$M$41+J52*'Factores generales'!$N$41,I52*'Factores generales'!$M$41+J52*'Factores generales'!$N$41)</f>
        <v>3143.0189999999998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Actividad'!$H49*'FE Sectorial'!$H52*'FE Sectorial'!I52*'FE Sectorial'!P52/1000</f>
        <v>78919.44</v>
      </c>
      <c r="I53" s="17">
        <f>'Datos Actividad'!$H49*'FE Sectorial'!$H52*'FE Sectorial'!J52/1000/1000</f>
        <v>27.2136</v>
      </c>
      <c r="J53" s="17">
        <f>'Datos Actividad'!$H49*'FE Sectorial'!$H52*'FE Sectorial'!K52/1000/1000</f>
        <v>3.6284800000000001</v>
      </c>
      <c r="K53" s="17">
        <f>'Datos Actividad'!$H49*'FE Sectorial'!$H52*'FE Sectorial'!L52/1000/1000</f>
        <v>90.712000000000003</v>
      </c>
      <c r="L53" s="17">
        <f>'Datos Actividad'!$H49*'FE Sectorial'!$H52*'FE Sectorial'!M52/1000/1000</f>
        <v>3628.48</v>
      </c>
      <c r="M53" s="17">
        <f>'Datos Actividad'!$H49*'FE Sectorial'!$H52*'FE Sectorial'!N52/1000/1000</f>
        <v>45.356000000000002</v>
      </c>
      <c r="N53" s="17">
        <f>'Datos Actividad'!$H49*'FE Sectorial'!$H52*'FE Sectorial'!O52/1000/1000</f>
        <v>0</v>
      </c>
      <c r="O53" s="87">
        <f>IF(D53&lt;400,H53+I53*'Factores generales'!$M$41+J53*'Factores generales'!$N$41,I53*'Factores generales'!$M$41+J53*'Factores generales'!$N$41)</f>
        <v>1696.3144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Actividad'!$H50*'FE Sectorial'!$H53*'FE Sectorial'!I53*'FE Sectorial'!P53/1000</f>
        <v>0</v>
      </c>
      <c r="I54" s="17">
        <f>'Datos Actividad'!$H50*'FE Sectorial'!$H53*'FE Sectorial'!J53/1000/1000</f>
        <v>0</v>
      </c>
      <c r="J54" s="17">
        <f>'Datos Actividad'!$H50*'FE Sectorial'!$H53*'FE Sectorial'!K53/1000/1000</f>
        <v>0</v>
      </c>
      <c r="K54" s="17">
        <f>'Datos Actividad'!$H50*'FE Sectorial'!$H53*'FE Sectorial'!L53/1000/1000</f>
        <v>0</v>
      </c>
      <c r="L54" s="17">
        <f>'Datos Actividad'!$H50*'FE Sectorial'!$H53*'FE Sectorial'!M53/1000/1000</f>
        <v>0</v>
      </c>
      <c r="M54" s="17">
        <f>'Datos Actividad'!$H50*'FE Sectorial'!$H53*'FE Sectorial'!N53/1000/1000</f>
        <v>0</v>
      </c>
      <c r="N54" s="17">
        <f>'Datos Actividad'!$H50*'FE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Actividad'!$H51*'FE Sectorial'!$H54*'FE Sectorial'!I54*'FE Sectorial'!P54/1000</f>
        <v>0</v>
      </c>
      <c r="I55" s="17">
        <f>'Datos Actividad'!$H51*'FE Sectorial'!$H54*'FE Sectorial'!J54/1000/1000</f>
        <v>0</v>
      </c>
      <c r="J55" s="17">
        <f>'Datos Actividad'!$H51*'FE Sectorial'!$H54*'FE Sectorial'!K54/1000/1000</f>
        <v>0</v>
      </c>
      <c r="K55" s="17">
        <f>'Datos Actividad'!$H51*'FE Sectorial'!$H54*'FE Sectorial'!L54/1000/1000</f>
        <v>0</v>
      </c>
      <c r="L55" s="17">
        <f>'Datos Actividad'!$H51*'FE Sectorial'!$H54*'FE Sectorial'!M54/1000/1000</f>
        <v>0</v>
      </c>
      <c r="M55" s="17">
        <f>'Datos Actividad'!$H51*'FE Sectorial'!$H54*'FE Sectorial'!N54/1000/1000</f>
        <v>0</v>
      </c>
      <c r="N55" s="17">
        <f>'Datos Actividad'!$H51*'FE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756354.18018520786</v>
      </c>
      <c r="I56" s="134">
        <f>SUM(I57:I62)</f>
        <v>680.29064642399999</v>
      </c>
      <c r="J56" s="134">
        <f t="shared" ref="J56:O56" si="14">SUM(J57:J62)</f>
        <v>90.657559758399998</v>
      </c>
      <c r="K56" s="134">
        <f t="shared" si="14"/>
        <v>4236.3485071999994</v>
      </c>
      <c r="L56" s="134">
        <f t="shared" si="14"/>
        <v>77071.15093032</v>
      </c>
      <c r="M56" s="134">
        <f t="shared" si="14"/>
        <v>1171.4659645199999</v>
      </c>
      <c r="N56" s="134">
        <f t="shared" si="14"/>
        <v>1841.4505199999999</v>
      </c>
      <c r="O56" s="134">
        <f t="shared" si="14"/>
        <v>798744.12728521577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Actividad'!$H53*'FE Sectorial'!$H56*'FE Sectorial'!I56*'FE Sectorial'!P56/1000</f>
        <v>630451.45292500791</v>
      </c>
      <c r="I57" s="17">
        <f>'Datos Actividad'!$H53*'FE Sectorial'!$H56*'FE Sectorial'!J56/1000/1000</f>
        <v>11.294466143999998</v>
      </c>
      <c r="J57" s="17">
        <f>'Datos Actividad'!$H53*'FE Sectorial'!$H56*'FE Sectorial'!K56/1000/1000</f>
        <v>1.1294466143999997</v>
      </c>
      <c r="K57" s="17">
        <f>'Datos Actividad'!$H53*'FE Sectorial'!$H56*'FE Sectorial'!L56/1000/1000</f>
        <v>1694.1699215999997</v>
      </c>
      <c r="L57" s="17">
        <f>'Datos Actividad'!$H53*'FE Sectorial'!$H56*'FE Sectorial'!M56/1000/1000</f>
        <v>338.83398431999996</v>
      </c>
      <c r="M57" s="17">
        <f>'Datos Actividad'!$H53*'FE Sectorial'!$H56*'FE Sectorial'!N56/1000/1000</f>
        <v>56.472330719999981</v>
      </c>
      <c r="N57" s="17">
        <f>'Datos Actividad'!$H53*'FE Sectorial'!$H56*'FE Sectorial'!O56/1000/1000</f>
        <v>0</v>
      </c>
      <c r="O57" s="87">
        <f>IF(D57&lt;400,H57+I57*'Factores generales'!$M$41+J57*'Factores generales'!$N$41,I57*'Factores generales'!$M$41+J57*'Factores generales'!$N$41)</f>
        <v>631038.76516449591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Actividad'!$H54*'FE Sectorial'!$H57*'FE Sectorial'!I57*'FE Sectorial'!P57/1000</f>
        <v>53.625428999999997</v>
      </c>
      <c r="I58" s="17">
        <f>'Datos Actividad'!$H54*'FE Sectorial'!$H57*'FE Sectorial'!J57/1000/1000</f>
        <v>2.1930000000000001E-3</v>
      </c>
      <c r="J58" s="17">
        <f>'Datos Actividad'!$H54*'FE Sectorial'!$H57*'FE Sectorial'!K57/1000/1000</f>
        <v>4.3859999999999998E-4</v>
      </c>
      <c r="K58" s="17">
        <f>'Datos Actividad'!$H54*'FE Sectorial'!$H57*'FE Sectorial'!L57/1000/1000</f>
        <v>0.1462</v>
      </c>
      <c r="L58" s="17">
        <f>'Datos Actividad'!$H54*'FE Sectorial'!$H57*'FE Sectorial'!M57/1000/1000</f>
        <v>7.3099999999999997E-3</v>
      </c>
      <c r="M58" s="17">
        <f>'Datos Actividad'!$H54*'FE Sectorial'!$H57*'FE Sectorial'!N57/1000/1000</f>
        <v>3.6549999999999998E-3</v>
      </c>
      <c r="N58" s="17">
        <f>'Datos Actividad'!$H54*'FE Sectorial'!$H57*'FE Sectorial'!O57/1000/1000</f>
        <v>2.6519999999999998E-2</v>
      </c>
      <c r="O58" s="87">
        <f>IF(D58&lt;400,H58+I58*'Factores generales'!$M$41+J58*'Factores generales'!$N$41,I58*'Factores generales'!$M$41+J58*'Factores generales'!$N$41)</f>
        <v>53.807448000000001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Actividad'!$H55*'FE Sectorial'!$H58*'FE Sectorial'!I58*'FE Sectorial'!P58/1000</f>
        <v>125849.10183119998</v>
      </c>
      <c r="I59" s="17">
        <f>'Datos Actividad'!$H55*'FE Sectorial'!$H58*'FE Sectorial'!J58/1000/1000</f>
        <v>4.9271435999999991</v>
      </c>
      <c r="J59" s="17">
        <f>'Datos Actividad'!$H55*'FE Sectorial'!$H58*'FE Sectorial'!K58/1000/1000</f>
        <v>0.98542871999999981</v>
      </c>
      <c r="K59" s="17">
        <f>'Datos Actividad'!$H55*'FE Sectorial'!$H58*'FE Sectorial'!L58/1000/1000</f>
        <v>328.4762399999999</v>
      </c>
      <c r="L59" s="17">
        <f>'Datos Actividad'!$H55*'FE Sectorial'!$H58*'FE Sectorial'!M58/1000/1000</f>
        <v>16.423811999999998</v>
      </c>
      <c r="M59" s="17">
        <f>'Datos Actividad'!$H55*'FE Sectorial'!$H58*'FE Sectorial'!N58/1000/1000</f>
        <v>8.211905999999999</v>
      </c>
      <c r="N59" s="17">
        <f>'Datos Actividad'!$H55*'FE Sectorial'!$H58*'FE Sectorial'!O58/1000/1000</f>
        <v>325.22399999999993</v>
      </c>
      <c r="O59" s="87">
        <f>IF(D59&lt;400,H59+I59*'Factores generales'!$M$41+J59*'Factores generales'!$N$41,I59*'Factores generales'!$M$41+J59*'Factores generales'!$N$41)</f>
        <v>126258.05474999998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Actividad'!$H56*'FE Sectorial'!$H59*'FE Sectorial'!I59*'FE Sectorial'!P59/1000</f>
        <v>963681.20467199991</v>
      </c>
      <c r="I60" s="17">
        <f>'Datos Actividad'!$H56*'FE Sectorial'!$H59*'FE Sectorial'!J59/1000/1000</f>
        <v>332.30386368000001</v>
      </c>
      <c r="J60" s="17">
        <f>'Datos Actividad'!$H56*'FE Sectorial'!$H59*'FE Sectorial'!K59/1000/1000</f>
        <v>44.307181823999997</v>
      </c>
      <c r="K60" s="17">
        <f>'Datos Actividad'!$H56*'FE Sectorial'!$H59*'FE Sectorial'!L59/1000/1000</f>
        <v>1107.6795455999998</v>
      </c>
      <c r="L60" s="17">
        <f>'Datos Actividad'!$H56*'FE Sectorial'!$H59*'FE Sectorial'!M59/1000/1000</f>
        <v>44307.181823999999</v>
      </c>
      <c r="M60" s="17">
        <f>'Datos Actividad'!$H56*'FE Sectorial'!$H59*'FE Sectorial'!N59/1000/1000</f>
        <v>553.83977279999988</v>
      </c>
      <c r="N60" s="17">
        <f>'Datos Actividad'!$H56*'FE Sectorial'!$H59*'FE Sectorial'!O59/1000/1000</f>
        <v>0</v>
      </c>
      <c r="O60" s="87">
        <f>IF(D60&lt;400,H60+I60*'Factores generales'!$M$41+J60*'Factores generales'!$N$41,I60*'Factores generales'!$M$41+J60*'Factores generales'!$N$41)</f>
        <v>20713.607502719999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Actividad'!$H57*'FE Sectorial'!$H60*'FE Sectorial'!I60*'FE Sectorial'!P60/1000</f>
        <v>576180.25920000009</v>
      </c>
      <c r="I61" s="17">
        <f>'Datos Actividad'!$H57*'FE Sectorial'!$H60*'FE Sectorial'!J60/1000/1000</f>
        <v>177.3954</v>
      </c>
      <c r="J61" s="17">
        <f>'Datos Actividad'!$H57*'FE Sectorial'!$H60*'FE Sectorial'!K60/1000/1000</f>
        <v>23.652720000000002</v>
      </c>
      <c r="K61" s="17">
        <f>'Datos Actividad'!$H57*'FE Sectorial'!$H60*'FE Sectorial'!L60/1000/1000</f>
        <v>591.31799999999998</v>
      </c>
      <c r="L61" s="17">
        <f>'Datos Actividad'!$H57*'FE Sectorial'!$H60*'FE Sectorial'!M60/1000/1000</f>
        <v>11826.36</v>
      </c>
      <c r="M61" s="17">
        <f>'Datos Actividad'!$H57*'FE Sectorial'!$H60*'FE Sectorial'!N60/1000/1000</f>
        <v>295.65899999999999</v>
      </c>
      <c r="N61" s="17">
        <f>'Datos Actividad'!$H57*'FE Sectorial'!$H60*'FE Sectorial'!O60/1000/1000</f>
        <v>1516.2</v>
      </c>
      <c r="O61" s="87">
        <f>IF(D61&lt;400,H61+I61*'Factores generales'!$M$41+J61*'Factores generales'!$N$41,I61*'Factores generales'!$M$41+J61*'Factores generales'!$N$41)</f>
        <v>11057.6466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Actividad'!$H58*'FE Sectorial'!$H61*'FE Sectorial'!I61*'FE Sectorial'!P61/1000</f>
        <v>447665.98200000013</v>
      </c>
      <c r="I62" s="17">
        <f>'Datos Actividad'!$H58*'FE Sectorial'!$H61*'FE Sectorial'!J61/1000/1000</f>
        <v>154.36758</v>
      </c>
      <c r="J62" s="17">
        <f>'Datos Actividad'!$H58*'FE Sectorial'!$H61*'FE Sectorial'!K61/1000/1000</f>
        <v>20.582344000000006</v>
      </c>
      <c r="K62" s="17">
        <f>'Datos Actividad'!$H58*'FE Sectorial'!$H61*'FE Sectorial'!L61/1000/1000</f>
        <v>514.55860000000007</v>
      </c>
      <c r="L62" s="17">
        <f>'Datos Actividad'!$H58*'FE Sectorial'!$H61*'FE Sectorial'!M61/1000/1000</f>
        <v>20582.344000000005</v>
      </c>
      <c r="M62" s="17">
        <f>'Datos Actividad'!$H58*'FE Sectorial'!$H61*'FE Sectorial'!N61/1000/1000</f>
        <v>257.27930000000003</v>
      </c>
      <c r="N62" s="17">
        <f>'Datos Actividad'!$H58*'FE Sectorial'!$H61*'FE Sectorial'!O61/1000/1000</f>
        <v>0</v>
      </c>
      <c r="O62" s="87">
        <f>IF(D62&lt;400,H62+I62*'Factores generales'!$M$41+J62*'Factores generales'!$N$41,I62*'Factores generales'!$M$41+J62*'Factores generales'!$N$41)</f>
        <v>9622.2458200000019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3614846.7418968966</v>
      </c>
      <c r="I63" s="134">
        <f>SUM(I64:I69)</f>
        <v>2041.002021648</v>
      </c>
      <c r="J63" s="134">
        <f t="shared" ref="J63" si="15">SUM(J64:J69)</f>
        <v>270.02814962879995</v>
      </c>
      <c r="K63" s="134">
        <f t="shared" ref="K63" si="16">SUM(K64:K69)</f>
        <v>16299.682337599999</v>
      </c>
      <c r="L63" s="134">
        <f t="shared" ref="L63" si="17">SUM(L64:L69)</f>
        <v>265020.15471183998</v>
      </c>
      <c r="M63" s="134">
        <f t="shared" ref="M63" si="18">SUM(M64:M69)</f>
        <v>3616.5583138400002</v>
      </c>
      <c r="N63" s="134">
        <f t="shared" ref="N63" si="19">SUM(N64:N69)</f>
        <v>76.25327999999999</v>
      </c>
      <c r="O63" s="134">
        <f t="shared" ref="O63" si="20">SUM(O64:O69)</f>
        <v>3741416.5107364319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Actividad'!$H60*'FE Sectorial'!$H63*'FE Sectorial'!I63*'FE Sectorial'!P63/1000</f>
        <v>3598486.8661272964</v>
      </c>
      <c r="I64" s="17">
        <f>'Datos Actividad'!$H60*'FE Sectorial'!$H63*'FE Sectorial'!J63/1000/1000</f>
        <v>64.466483327999995</v>
      </c>
      <c r="J64" s="17">
        <f>'Datos Actividad'!$H60*'FE Sectorial'!$H63*'FE Sectorial'!K63/1000/1000</f>
        <v>6.4466483328000015</v>
      </c>
      <c r="K64" s="17">
        <f>'Datos Actividad'!$H60*'FE Sectorial'!$H63*'FE Sectorial'!L63/1000/1000</f>
        <v>9669.972499200001</v>
      </c>
      <c r="L64" s="17">
        <f>'Datos Actividad'!$H60*'FE Sectorial'!$H63*'FE Sectorial'!M63/1000/1000</f>
        <v>1933.9944998400001</v>
      </c>
      <c r="M64" s="17">
        <f>'Datos Actividad'!$H60*'FE Sectorial'!$H63*'FE Sectorial'!N63/1000/1000</f>
        <v>322.33241664000002</v>
      </c>
      <c r="N64" s="17">
        <f>'Datos Actividad'!$H60*'FE Sectorial'!$H63*'FE Sectorial'!O63/1000/1000</f>
        <v>0</v>
      </c>
      <c r="O64" s="87">
        <f>IF(D64&lt;400,H64+I64*'Factores generales'!$M$41+J64*'Factores generales'!$N$41,I64*'Factores generales'!$M$41+J64*'Factores generales'!$N$41)</f>
        <v>3601839.1232603523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Actividad'!$H61*'FE Sectorial'!$H64*'FE Sectorial'!I64*'FE Sectorial'!P64/1000</f>
        <v>6271.020755999999</v>
      </c>
      <c r="I65" s="17">
        <f>'Datos Actividad'!$H61*'FE Sectorial'!$H64*'FE Sectorial'!J64/1000/1000</f>
        <v>0.25645200000000001</v>
      </c>
      <c r="J65" s="17">
        <f>'Datos Actividad'!$H61*'FE Sectorial'!$H64*'FE Sectorial'!K64/1000/1000</f>
        <v>5.12904E-2</v>
      </c>
      <c r="K65" s="17">
        <f>'Datos Actividad'!$H61*'FE Sectorial'!$H64*'FE Sectorial'!L64/1000/1000</f>
        <v>17.096799999999998</v>
      </c>
      <c r="L65" s="17">
        <f>'Datos Actividad'!$H61*'FE Sectorial'!$H64*'FE Sectorial'!M64/1000/1000</f>
        <v>0.85484000000000004</v>
      </c>
      <c r="M65" s="17">
        <f>'Datos Actividad'!$H61*'FE Sectorial'!$H64*'FE Sectorial'!N64/1000/1000</f>
        <v>0.42742000000000002</v>
      </c>
      <c r="N65" s="17">
        <f>'Datos Actividad'!$H61*'FE Sectorial'!$H64*'FE Sectorial'!O64/1000/1000</f>
        <v>3.10128</v>
      </c>
      <c r="O65" s="87">
        <f>IF(D65&lt;400,H65+I65*'Factores generales'!$M$41+J65*'Factores generales'!$N$41,I65*'Factores generales'!$M$41+J65*'Factores generales'!$N$41)</f>
        <v>6292.3062719999989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Actividad'!$H62*'FE Sectorial'!$H65*'FE Sectorial'!I65*'FE Sectorial'!P65/1000</f>
        <v>10088.855013600001</v>
      </c>
      <c r="I66" s="17">
        <f>'Datos Actividad'!$H62*'FE Sectorial'!$H65*'FE Sectorial'!J65/1000/1000</f>
        <v>0.39499080000000003</v>
      </c>
      <c r="J66" s="17">
        <f>'Datos Actividad'!$H62*'FE Sectorial'!$H65*'FE Sectorial'!K65/1000/1000</f>
        <v>7.8998159999999998E-2</v>
      </c>
      <c r="K66" s="17">
        <f>'Datos Actividad'!$H62*'FE Sectorial'!$H65*'FE Sectorial'!L65/1000/1000</f>
        <v>26.332720000000002</v>
      </c>
      <c r="L66" s="17">
        <f>'Datos Actividad'!$H62*'FE Sectorial'!$H65*'FE Sectorial'!M65/1000/1000</f>
        <v>1.3166359999999999</v>
      </c>
      <c r="M66" s="17">
        <f>'Datos Actividad'!$H62*'FE Sectorial'!$H65*'FE Sectorial'!N65/1000/1000</f>
        <v>0.65831799999999996</v>
      </c>
      <c r="N66" s="17">
        <f>'Datos Actividad'!$H62*'FE Sectorial'!$H65*'FE Sectorial'!O65/1000/1000</f>
        <v>26.071999999999999</v>
      </c>
      <c r="O66" s="87">
        <f>IF(D66&lt;400,H66+I66*'Factores generales'!$M$41+J66*'Factores generales'!$N$41,I66*'Factores generales'!$M$41+J66*'Factores generales'!$N$41)</f>
        <v>10121.639250000002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Actividad'!$H63*'FE Sectorial'!$H66*'FE Sectorial'!I66*'FE Sectorial'!P66/1000</f>
        <v>5460860.1598079996</v>
      </c>
      <c r="I67" s="17">
        <f>'Datos Actividad'!$H63*'FE Sectorial'!$H66*'FE Sectorial'!J66/1000/1000</f>
        <v>1883.05522752</v>
      </c>
      <c r="J67" s="17">
        <f>'Datos Actividad'!$H63*'FE Sectorial'!$H66*'FE Sectorial'!K66/1000/1000</f>
        <v>251.07403033599999</v>
      </c>
      <c r="K67" s="17">
        <f>'Datos Actividad'!$H63*'FE Sectorial'!$H66*'FE Sectorial'!L66/1000/1000</f>
        <v>6276.8507583999999</v>
      </c>
      <c r="L67" s="17">
        <f>'Datos Actividad'!$H63*'FE Sectorial'!$H66*'FE Sectorial'!M66/1000/1000</f>
        <v>251074.030336</v>
      </c>
      <c r="M67" s="17">
        <f>'Datos Actividad'!$H63*'FE Sectorial'!$H66*'FE Sectorial'!N66/1000/1000</f>
        <v>3138.4253792</v>
      </c>
      <c r="N67" s="17">
        <f>'Datos Actividad'!$H63*'FE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117377.10918207999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Actividad'!$H64*'FE Sectorial'!$H67*'FE Sectorial'!I67*'FE Sectorial'!P67/1000</f>
        <v>17891.153280000002</v>
      </c>
      <c r="I68" s="17">
        <f>'Datos Actividad'!$H64*'FE Sectorial'!$H67*'FE Sectorial'!J67/1000/1000</f>
        <v>5.5083599999999997</v>
      </c>
      <c r="J68" s="17">
        <f>'Datos Actividad'!$H64*'FE Sectorial'!$H67*'FE Sectorial'!K67/1000/1000</f>
        <v>0.73444799999999999</v>
      </c>
      <c r="K68" s="17">
        <f>'Datos Actividad'!$H64*'FE Sectorial'!$H67*'FE Sectorial'!L67/1000/1000</f>
        <v>18.3612</v>
      </c>
      <c r="L68" s="17">
        <f>'Datos Actividad'!$H64*'FE Sectorial'!$H67*'FE Sectorial'!M67/1000/1000</f>
        <v>367.22399999999999</v>
      </c>
      <c r="M68" s="17">
        <f>'Datos Actividad'!$H64*'FE Sectorial'!$H67*'FE Sectorial'!N67/1000/1000</f>
        <v>9.1806000000000001</v>
      </c>
      <c r="N68" s="17">
        <f>'Datos Actividad'!$H64*'FE Sectorial'!$H67*'FE Sectorial'!O67/1000/1000</f>
        <v>47.08</v>
      </c>
      <c r="O68" s="87">
        <f>IF(D68&lt;400,H68+I68*'Factores generales'!$M$41+J68*'Factores generales'!$N$41,I68*'Factores generales'!$M$41+J68*'Factores generales'!$N$41)</f>
        <v>343.35443999999995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Actividad'!$H65*'FE Sectorial'!$H68*'FE Sectorial'!I68*'FE Sectorial'!P68/1000</f>
        <v>253229.47319999998</v>
      </c>
      <c r="I69" s="17">
        <f>'Datos Actividad'!$H65*'FE Sectorial'!$H68*'FE Sectorial'!J68/1000/1000</f>
        <v>87.320508000000004</v>
      </c>
      <c r="J69" s="17">
        <f>'Datos Actividad'!$H65*'FE Sectorial'!$H68*'FE Sectorial'!K68/1000/1000</f>
        <v>11.642734400000002</v>
      </c>
      <c r="K69" s="17">
        <f>'Datos Actividad'!$H65*'FE Sectorial'!$H68*'FE Sectorial'!L68/1000/1000</f>
        <v>291.06835999999998</v>
      </c>
      <c r="L69" s="17">
        <f>'Datos Actividad'!$H65*'FE Sectorial'!$H68*'FE Sectorial'!M68/1000/1000</f>
        <v>11642.734400000001</v>
      </c>
      <c r="M69" s="17">
        <f>'Datos Actividad'!$H65*'FE Sectorial'!$H68*'FE Sectorial'!N68/1000/1000</f>
        <v>145.53417999999999</v>
      </c>
      <c r="N69" s="17">
        <f>'Datos Actividad'!$H65*'FE Sectorial'!$H68*'FE Sectorial'!O68/1000/1000</f>
        <v>0</v>
      </c>
      <c r="O69" s="87">
        <f>IF(D69&lt;400,H69+I69*'Factores generales'!$M$41+J69*'Factores generales'!$N$41,I69*'Factores generales'!$M$41+J69*'Factores generales'!$N$41)</f>
        <v>5442.9783320000006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21">H71+H77+H80+H86+H90+H94</f>
        <v>9909859.8624356352</v>
      </c>
      <c r="I70" s="134">
        <f t="shared" si="21"/>
        <v>474.25520528235938</v>
      </c>
      <c r="J70" s="134">
        <f t="shared" si="21"/>
        <v>68.515372392778659</v>
      </c>
      <c r="K70" s="134">
        <f t="shared" si="21"/>
        <v>27804.534384803534</v>
      </c>
      <c r="L70" s="134">
        <f t="shared" si="21"/>
        <v>24440.462262686022</v>
      </c>
      <c r="M70" s="134">
        <f t="shared" si="21"/>
        <v>1408.3797938817402</v>
      </c>
      <c r="N70" s="134">
        <f t="shared" si="21"/>
        <v>3060.840254503194</v>
      </c>
      <c r="O70" s="134">
        <f t="shared" si="21"/>
        <v>9941058.9871883262</v>
      </c>
    </row>
    <row r="71" spans="1:15" outlineLevel="1" x14ac:dyDescent="0.25">
      <c r="B71" s="1" t="s">
        <v>36</v>
      </c>
      <c r="G71" s="1"/>
      <c r="H71" s="15">
        <f>H72+H73+H74+H76</f>
        <v>3511183.2543175034</v>
      </c>
      <c r="I71" s="15">
        <f>SUM(I72:I76)</f>
        <v>77.943844476580466</v>
      </c>
      <c r="J71" s="15">
        <f t="shared" ref="J71:O71" si="22">SUM(J72:J76)</f>
        <v>16.814133378384668</v>
      </c>
      <c r="K71" s="15">
        <f t="shared" si="22"/>
        <v>9758.1500954500989</v>
      </c>
      <c r="L71" s="15">
        <f t="shared" si="22"/>
        <v>3760.3021941969469</v>
      </c>
      <c r="M71" s="15">
        <f t="shared" si="22"/>
        <v>414.98967431338207</v>
      </c>
      <c r="N71" s="15">
        <f t="shared" si="22"/>
        <v>165.41412151898717</v>
      </c>
      <c r="O71" s="15">
        <f t="shared" si="22"/>
        <v>3518032.4563988107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Actividad'!$H68*'FE Sectorial'!$H71*'FE Sectorial'!I71*'FE Sectorial'!P71/1000</f>
        <v>2938242.9786407282</v>
      </c>
      <c r="I72" s="17">
        <f>'Datos Actividad'!$H68*'FE Sectorial'!$H71*'FE Sectorial'!J71/1000/1000</f>
        <v>52.638289103999995</v>
      </c>
      <c r="J72" s="17">
        <f>'Datos Actividad'!$H68*'FE Sectorial'!$H71*'FE Sectorial'!K71/1000/1000</f>
        <v>5.2638289104</v>
      </c>
      <c r="K72" s="17">
        <f>'Datos Actividad'!$H68*'FE Sectorial'!$H71*'FE Sectorial'!L71/1000/1000</f>
        <v>7895.7433655999994</v>
      </c>
      <c r="L72" s="17">
        <f>'Datos Actividad'!$H68*'FE Sectorial'!$H71*'FE Sectorial'!M71/1000/1000</f>
        <v>1579.14867312</v>
      </c>
      <c r="M72" s="17">
        <f>'Datos Actividad'!$H68*'FE Sectorial'!$H71*'FE Sectorial'!N71/1000/1000</f>
        <v>263.19144552</v>
      </c>
      <c r="N72" s="17">
        <f>'Datos Actividad'!$H68*'FE Sectorial'!$H71*'FE Sectorial'!O71/1000/1000</f>
        <v>0</v>
      </c>
      <c r="O72" s="87">
        <f>IF(D72&lt;400,H72+I72*'Factores generales'!$M$41+J72*'Factores generales'!$N$41,I72*'Factores generales'!$M$41+J72*'Factores generales'!$N$41)</f>
        <v>2940980.1696741362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Actividad'!$H69*'FE Sectorial'!$H72*'FE Sectorial'!I72*'FE Sectorial'!P72/1000</f>
        <v>1608.7628699999993</v>
      </c>
      <c r="I73" s="17">
        <f>'Datos Actividad'!$H69*'FE Sectorial'!$H72*'FE Sectorial'!J72/1000/1000</f>
        <v>6.5789999999999987E-2</v>
      </c>
      <c r="J73" s="17">
        <f>'Datos Actividad'!$H69*'FE Sectorial'!$H72*'FE Sectorial'!K72/1000/1000</f>
        <v>1.3157999999999998E-2</v>
      </c>
      <c r="K73" s="17">
        <f>'Datos Actividad'!$H69*'FE Sectorial'!$H72*'FE Sectorial'!L72/1000/1000</f>
        <v>4.3859999999999992</v>
      </c>
      <c r="L73" s="17">
        <f>'Datos Actividad'!$H69*'FE Sectorial'!$H72*'FE Sectorial'!M72/1000/1000</f>
        <v>0.21929999999999999</v>
      </c>
      <c r="M73" s="17">
        <f>'Datos Actividad'!$H69*'FE Sectorial'!$H72*'FE Sectorial'!N72/1000/1000</f>
        <v>0.10965</v>
      </c>
      <c r="N73" s="17">
        <f>'Datos Actividad'!$H69*'FE Sectorial'!$H72*'FE Sectorial'!O72/1000/1000</f>
        <v>0.79559999999999986</v>
      </c>
      <c r="O73" s="87">
        <f>IF(D73&lt;400,H73+I73*'Factores generales'!$M$41+J73*'Factores generales'!$N$41,I73*'Factores generales'!$M$41+J73*'Factores generales'!$N$41)</f>
        <v>1614.2234399999993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Actividad'!$H70*'FE Sectorial'!$H73*'FE Sectorial'!I73*'FE Sectorial'!P73/1000</f>
        <v>571331.51280677528</v>
      </c>
      <c r="I74" s="17">
        <f>'Datos Actividad'!$H70*'FE Sectorial'!$H73*'FE Sectorial'!J73/1000/1000</f>
        <v>5.9793983548589775</v>
      </c>
      <c r="J74" s="17">
        <f>'Datos Actividad'!$H70*'FE Sectorial'!$H73*'FE Sectorial'!K73/1000/1000</f>
        <v>8.9690975322884672</v>
      </c>
      <c r="K74" s="17">
        <f>'Datos Actividad'!$H70*'FE Sectorial'!$H73*'FE Sectorial'!L73/1000/1000</f>
        <v>1793.8195064576935</v>
      </c>
      <c r="L74" s="17">
        <f>'Datos Actividad'!$H70*'FE Sectorial'!$H73*'FE Sectorial'!M73/1000/1000</f>
        <v>896.90975322884674</v>
      </c>
      <c r="M74" s="17">
        <f>'Datos Actividad'!$H70*'FE Sectorial'!$H73*'FE Sectorial'!N73/1000/1000</f>
        <v>119.58796709717956</v>
      </c>
      <c r="N74" s="17">
        <f>'Datos Actividad'!$H70*'FE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574237.50040723674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Actividad'!$H71*'FE Sectorial'!$H74*'FE Sectorial'!I74*'FE Sectorial'!P74/1000</f>
        <v>62557.672073559435</v>
      </c>
      <c r="I75" s="17">
        <f>'Datos Actividad'!$H71*'FE Sectorial'!$H74*'FE Sectorial'!J74/1000/1000</f>
        <v>19.260367017721499</v>
      </c>
      <c r="J75" s="17">
        <f>'Datos Actividad'!$H71*'FE Sectorial'!$H74*'FE Sectorial'!K74/1000/1000</f>
        <v>2.5680489356961997</v>
      </c>
      <c r="K75" s="17">
        <f>'Datos Actividad'!$H71*'FE Sectorial'!$H74*'FE Sectorial'!L74/1000/1000</f>
        <v>64.201223392404998</v>
      </c>
      <c r="L75" s="17">
        <f>'Datos Actividad'!$H71*'FE Sectorial'!$H74*'FE Sectorial'!M74/1000/1000</f>
        <v>1284.0244678480999</v>
      </c>
      <c r="M75" s="17">
        <f>'Datos Actividad'!$H71*'FE Sectorial'!$H74*'FE Sectorial'!N74/1000/1000</f>
        <v>32.100611696202499</v>
      </c>
      <c r="N75" s="17">
        <f>'Datos Actividad'!$H71*'FE Sectorial'!$H74*'FE Sectorial'!O74/1000/1000</f>
        <v>164.61852151898717</v>
      </c>
      <c r="O75" s="87">
        <f>IF(D75&lt;400,H75+I75*'Factores generales'!$M$41+J75*'Factores generales'!$N$41,I75*'Factores generales'!$M$41+J75*'Factores generales'!$N$41)</f>
        <v>1200.5628774379734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Actividad'!$H72*'FE Sectorial'!$H75*'FE Sectorial'!I75*'FE Sectorial'!P75/1000</f>
        <v>0</v>
      </c>
      <c r="I76" s="17">
        <f>'Datos Actividad'!$H72*'FE Sectorial'!$H75*'FE Sectorial'!J75/1000/1000</f>
        <v>0</v>
      </c>
      <c r="J76" s="17">
        <f>'Datos Actividad'!$H72*'FE Sectorial'!$H75*'FE Sectorial'!K75/1000/1000</f>
        <v>0</v>
      </c>
      <c r="K76" s="17">
        <f>'Datos Actividad'!$H72*'FE Sectorial'!$H75*'FE Sectorial'!L75/1000/1000</f>
        <v>0</v>
      </c>
      <c r="L76" s="17">
        <f>'Datos Actividad'!$H72*'FE Sectorial'!$H75*'FE Sectorial'!M75/1000/1000</f>
        <v>0</v>
      </c>
      <c r="M76" s="17">
        <f>'Datos Actividad'!$H72*'FE Sectorial'!$H75*'FE Sectorial'!N75/1000/1000</f>
        <v>0</v>
      </c>
      <c r="N76" s="17">
        <f>'Datos Actividad'!$H72*'FE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23">H78+H79</f>
        <v>126397.68710342402</v>
      </c>
      <c r="I77" s="15">
        <f t="shared" si="23"/>
        <v>2.2744036320000003</v>
      </c>
      <c r="J77" s="15">
        <f t="shared" si="23"/>
        <v>0.22922056320000003</v>
      </c>
      <c r="K77" s="15">
        <f t="shared" si="23"/>
        <v>339.67704479999998</v>
      </c>
      <c r="L77" s="15">
        <f t="shared" si="23"/>
        <v>67.757388960000014</v>
      </c>
      <c r="M77" s="15">
        <f t="shared" si="23"/>
        <v>11.312678159999999</v>
      </c>
      <c r="N77" s="15">
        <f t="shared" si="23"/>
        <v>0.21528</v>
      </c>
      <c r="O77" s="15">
        <f t="shared" si="23"/>
        <v>126516.50795428801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Actividad'!$H74*'FE Sectorial'!$H77*'FE Sectorial'!I77*'FE Sectorial'!P77/1000</f>
        <v>125962.37479742401</v>
      </c>
      <c r="I78" s="17">
        <f>'Datos Actividad'!$H74*'FE Sectorial'!$H77*'FE Sectorial'!J77/1000/1000</f>
        <v>2.2566016320000002</v>
      </c>
      <c r="J78" s="17">
        <f>'Datos Actividad'!$H74*'FE Sectorial'!$H77*'FE Sectorial'!K77/1000/1000</f>
        <v>0.22566016320000004</v>
      </c>
      <c r="K78" s="17">
        <f>'Datos Actividad'!$H74*'FE Sectorial'!$H77*'FE Sectorial'!L77/1000/1000</f>
        <v>338.49024479999997</v>
      </c>
      <c r="L78" s="17">
        <f>'Datos Actividad'!$H74*'FE Sectorial'!$H77*'FE Sectorial'!M77/1000/1000</f>
        <v>67.698048960000008</v>
      </c>
      <c r="M78" s="17">
        <f>'Datos Actividad'!$H74*'FE Sectorial'!$H77*'FE Sectorial'!N77/1000/1000</f>
        <v>11.28300816</v>
      </c>
      <c r="N78" s="17">
        <f>'Datos Actividad'!$H74*'FE Sectorial'!$H77*'FE Sectorial'!O77/1000/1000</f>
        <v>0</v>
      </c>
      <c r="O78" s="87">
        <f>IF(D78&lt;400,H78+I78*'Factores generales'!$M$41+J78*'Factores generales'!$N$41,I78*'Factores generales'!$M$41+J78*'Factores generales'!$N$41)</f>
        <v>126079.71808228802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Actividad'!$H75*'FE Sectorial'!$H78*'FE Sectorial'!I78*'FE Sectorial'!P78/1000</f>
        <v>435.31230599999998</v>
      </c>
      <c r="I79" s="17">
        <f>'Datos Actividad'!$H75*'FE Sectorial'!$H78*'FE Sectorial'!J78/1000/1000</f>
        <v>1.7801999999999998E-2</v>
      </c>
      <c r="J79" s="17">
        <f>'Datos Actividad'!$H75*'FE Sectorial'!$H78*'FE Sectorial'!K78/1000/1000</f>
        <v>3.5604E-3</v>
      </c>
      <c r="K79" s="17">
        <f>'Datos Actividad'!$H75*'FE Sectorial'!$H78*'FE Sectorial'!L78/1000/1000</f>
        <v>1.1867999999999999</v>
      </c>
      <c r="L79" s="17">
        <f>'Datos Actividad'!$H75*'FE Sectorial'!$H78*'FE Sectorial'!M78/1000/1000</f>
        <v>5.9340000000000004E-2</v>
      </c>
      <c r="M79" s="17">
        <f>'Datos Actividad'!$H75*'FE Sectorial'!$H78*'FE Sectorial'!N78/1000/1000</f>
        <v>2.9670000000000002E-2</v>
      </c>
      <c r="N79" s="17">
        <f>'Datos Actividad'!$H75*'FE Sectorial'!$H78*'FE Sectorial'!O78/1000/1000</f>
        <v>0.21528</v>
      </c>
      <c r="O79" s="87">
        <f>IF(D79&lt;400,H79+I79*'Factores generales'!$M$41+J79*'Factores generales'!$N$41,I79*'Factores generales'!$M$41+J79*'Factores generales'!$N$41)</f>
        <v>436.789872</v>
      </c>
    </row>
    <row r="80" spans="1:15" outlineLevel="1" x14ac:dyDescent="0.25">
      <c r="B80" s="1" t="s">
        <v>37</v>
      </c>
      <c r="G80" s="1"/>
      <c r="H80" s="15">
        <f>SUM(H81:H83)</f>
        <v>57059.855282232005</v>
      </c>
      <c r="I80" s="15">
        <f>SUM(I81:I85)</f>
        <v>264.64662717599998</v>
      </c>
      <c r="J80" s="15">
        <f t="shared" ref="J80:O80" si="24">SUM(J81:J85)</f>
        <v>35.252279217599991</v>
      </c>
      <c r="K80" s="15">
        <f t="shared" si="24"/>
        <v>1032.0796063999999</v>
      </c>
      <c r="L80" s="15">
        <f t="shared" si="24"/>
        <v>17605.547775279996</v>
      </c>
      <c r="M80" s="15">
        <f t="shared" si="24"/>
        <v>444.4826658799999</v>
      </c>
      <c r="N80" s="15">
        <f t="shared" si="24"/>
        <v>2253.2122799999997</v>
      </c>
      <c r="O80" s="15">
        <f t="shared" si="24"/>
        <v>73545.641010384003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Actividad'!$H77*'FE Sectorial'!$H80*'FE Sectorial'!I80*'FE Sectorial'!P80/1000</f>
        <v>57018.847601232002</v>
      </c>
      <c r="I81" s="17">
        <f>'Datos Actividad'!$H77*'FE Sectorial'!$H80*'FE Sectorial'!J80/1000/1000</f>
        <v>1.021486176</v>
      </c>
      <c r="J81" s="17">
        <f>'Datos Actividad'!$H77*'FE Sectorial'!$H80*'FE Sectorial'!K80/1000/1000</f>
        <v>0.10214861759999999</v>
      </c>
      <c r="K81" s="17">
        <f>'Datos Actividad'!$H77*'FE Sectorial'!$H80*'FE Sectorial'!L80/1000/1000</f>
        <v>153.22292640000001</v>
      </c>
      <c r="L81" s="17">
        <f>'Datos Actividad'!$H77*'FE Sectorial'!$H80*'FE Sectorial'!M80/1000/1000</f>
        <v>30.644585280000005</v>
      </c>
      <c r="M81" s="17">
        <f>'Datos Actividad'!$H77*'FE Sectorial'!$H80*'FE Sectorial'!N80/1000/1000</f>
        <v>5.1074308799999999</v>
      </c>
      <c r="N81" s="17">
        <f>'Datos Actividad'!$H77*'FE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57071.964882384003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Actividad'!$H78*'FE Sectorial'!$H81*'FE Sectorial'!I81*'FE Sectorial'!P81/1000</f>
        <v>41.007680999999998</v>
      </c>
      <c r="I82" s="17">
        <f>'Datos Actividad'!$H78*'FE Sectorial'!$H81*'FE Sectorial'!J81/1000/1000</f>
        <v>1.6770000000000001E-3</v>
      </c>
      <c r="J82" s="17">
        <f>'Datos Actividad'!$H78*'FE Sectorial'!$H81*'FE Sectorial'!K81/1000/1000</f>
        <v>3.3539999999999997E-4</v>
      </c>
      <c r="K82" s="17">
        <f>'Datos Actividad'!$H78*'FE Sectorial'!$H81*'FE Sectorial'!L81/1000/1000</f>
        <v>0.1118</v>
      </c>
      <c r="L82" s="17">
        <f>'Datos Actividad'!$H78*'FE Sectorial'!$H81*'FE Sectorial'!M81/1000/1000</f>
        <v>5.5899999999999995E-3</v>
      </c>
      <c r="M82" s="17">
        <f>'Datos Actividad'!$H78*'FE Sectorial'!$H81*'FE Sectorial'!N81/1000/1000</f>
        <v>2.7949999999999997E-3</v>
      </c>
      <c r="N82" s="17">
        <f>'Datos Actividad'!$H78*'FE Sectorial'!$H81*'FE Sectorial'!O81/1000/1000</f>
        <v>2.0279999999999999E-2</v>
      </c>
      <c r="O82" s="87">
        <f>IF(D82&lt;400,H82+I82*'Factores generales'!$M$41+J82*'Factores generales'!$N$41,I82*'Factores generales'!$M$41+J82*'Factores generales'!$N$41)</f>
        <v>41.146872000000002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Actividad'!$H79*'FE Sectorial'!$H82*'FE Sectorial'!I82*'FE Sectorial'!P82/1000</f>
        <v>0</v>
      </c>
      <c r="I83" s="95">
        <f>'Datos Actividad'!$H79*'FE Sectorial'!$H82*'FE Sectorial'!J82/1000/1000</f>
        <v>0</v>
      </c>
      <c r="J83" s="17">
        <f>'Datos Actividad'!$H79*'FE Sectorial'!$H82*'FE Sectorial'!K82/1000/1000</f>
        <v>0</v>
      </c>
      <c r="K83" s="17">
        <f>'Datos Actividad'!$H79*'FE Sectorial'!$H82*'FE Sectorial'!L82/1000/1000</f>
        <v>0</v>
      </c>
      <c r="L83" s="17">
        <f>'Datos Actividad'!$H79*'FE Sectorial'!$H82*'FE Sectorial'!M82/1000/1000</f>
        <v>0</v>
      </c>
      <c r="M83" s="17">
        <f>'Datos Actividad'!$H79*'FE Sectorial'!$H82*'FE Sectorial'!N82/1000/1000</f>
        <v>0</v>
      </c>
      <c r="N83" s="17">
        <f>'Datos Actividad'!$H79*'FE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Actividad'!$H80*'FE Sectorial'!$H83*'FE Sectorial'!I83*'FE Sectorial'!P83/1000</f>
        <v>856249.01107199991</v>
      </c>
      <c r="I84" s="95">
        <f>'Datos Actividad'!$H80*'FE Sectorial'!$H83*'FE Sectorial'!J83/1000/1000</f>
        <v>263.62346399999996</v>
      </c>
      <c r="J84" s="17">
        <f>'Datos Actividad'!$H80*'FE Sectorial'!$H83*'FE Sectorial'!K83/1000/1000</f>
        <v>35.149795199999993</v>
      </c>
      <c r="K84" s="17">
        <f>'Datos Actividad'!$H80*'FE Sectorial'!$H83*'FE Sectorial'!L83/1000/1000</f>
        <v>878.74487999999985</v>
      </c>
      <c r="L84" s="17">
        <f>'Datos Actividad'!$H80*'FE Sectorial'!$H83*'FE Sectorial'!M83/1000/1000</f>
        <v>17574.897599999997</v>
      </c>
      <c r="M84" s="17">
        <f>'Datos Actividad'!$H80*'FE Sectorial'!$H83*'FE Sectorial'!N83/1000/1000</f>
        <v>439.37243999999993</v>
      </c>
      <c r="N84" s="17">
        <f>'Datos Actividad'!$H80*'FE Sectorial'!$H83*'FE Sectorial'!O83/1000/1000</f>
        <v>2253.1919999999996</v>
      </c>
      <c r="O84" s="87">
        <f>IF(D84&lt;400,H84+I84*'Factores generales'!$M$41+J84*'Factores generales'!$N$41,I84*'Factores generales'!$M$41+J84*'Factores generales'!$N$41)</f>
        <v>16432.529255999998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Actividad'!$H81*'FE Sectorial'!$H84*'FE Sectorial'!I84*'FE Sectorial'!P84/1000</f>
        <v>0</v>
      </c>
      <c r="I85" s="95">
        <f>'Datos Actividad'!$H81*'FE Sectorial'!$H84*'FE Sectorial'!J84/1000/1000</f>
        <v>0</v>
      </c>
      <c r="J85" s="17">
        <f>'Datos Actividad'!$H81*'FE Sectorial'!$H84*'FE Sectorial'!K84/1000/1000</f>
        <v>0</v>
      </c>
      <c r="K85" s="17">
        <f>'Datos Actividad'!$H81*'FE Sectorial'!$H84*'FE Sectorial'!L84/1000/1000</f>
        <v>0</v>
      </c>
      <c r="L85" s="17">
        <f>'Datos Actividad'!$H81*'FE Sectorial'!$H84*'FE Sectorial'!M84/1000/1000</f>
        <v>0</v>
      </c>
      <c r="M85" s="17">
        <f>'Datos Actividad'!$H81*'FE Sectorial'!$H84*'FE Sectorial'!N84/1000/1000</f>
        <v>0</v>
      </c>
      <c r="N85" s="17">
        <f>'Datos Actividad'!$H81*'FE Sectorial'!$H84*'FE Sectorial'!O84/1000/1000</f>
        <v>0</v>
      </c>
      <c r="O85" s="87">
        <f>IF(D85&lt;400,H85+I85*'Factores generales'!$M$41+J85*'Factores generales'!$N$41,I85*'Factores generales'!$M$41+J85*'Factores generales'!$N$41)</f>
        <v>0</v>
      </c>
    </row>
    <row r="86" spans="2:15" outlineLevel="1" x14ac:dyDescent="0.25">
      <c r="B86" s="1" t="s">
        <v>38</v>
      </c>
      <c r="G86" s="1"/>
      <c r="H86" s="15">
        <f>H87+H88</f>
        <v>258896.25318347997</v>
      </c>
      <c r="I86" s="15">
        <f>I87+I88+I89</f>
        <v>4.6401266400000001</v>
      </c>
      <c r="J86" s="15">
        <f t="shared" ref="J86:O86" si="25">J87+J88+J89</f>
        <v>0.46437386399999997</v>
      </c>
      <c r="K86" s="15">
        <f t="shared" si="25"/>
        <v>695.71799600000008</v>
      </c>
      <c r="L86" s="15">
        <f t="shared" si="25"/>
        <v>139.1074792</v>
      </c>
      <c r="M86" s="15">
        <f t="shared" si="25"/>
        <v>23.1885932</v>
      </c>
      <c r="N86" s="15">
        <f t="shared" si="25"/>
        <v>4.3679999999999997E-2</v>
      </c>
      <c r="O86" s="15">
        <f t="shared" si="25"/>
        <v>259137.65174075999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Actividad'!$H83*'FE Sectorial'!$H86*'FE Sectorial'!I86*'FE Sectorial'!P86/1000</f>
        <v>258807.92894747999</v>
      </c>
      <c r="I87" s="17">
        <f>'Datos Actividad'!$H83*'FE Sectorial'!$H86*'FE Sectorial'!J86/1000/1000</f>
        <v>4.6365146399999997</v>
      </c>
      <c r="J87" s="17">
        <f>'Datos Actividad'!$H83*'FE Sectorial'!$H86*'FE Sectorial'!K86/1000/1000</f>
        <v>0.46365146399999996</v>
      </c>
      <c r="K87" s="17">
        <f>'Datos Actividad'!$H83*'FE Sectorial'!$H86*'FE Sectorial'!L86/1000/1000</f>
        <v>695.47719600000005</v>
      </c>
      <c r="L87" s="17">
        <f>'Datos Actividad'!$H83*'FE Sectorial'!$H86*'FE Sectorial'!M86/1000/1000</f>
        <v>139.09543919999999</v>
      </c>
      <c r="M87" s="17">
        <f>'Datos Actividad'!$H83*'FE Sectorial'!$H86*'FE Sectorial'!N86/1000/1000</f>
        <v>23.1825732</v>
      </c>
      <c r="N87" s="17">
        <f>'Datos Actividad'!$H83*'FE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259049.02770876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Actividad'!$H84*'FE Sectorial'!$H87*'FE Sectorial'!I87*'FE Sectorial'!P87/1000</f>
        <v>88.324235999999985</v>
      </c>
      <c r="I88" s="17">
        <f>'Datos Actividad'!$H84*'FE Sectorial'!$H87*'FE Sectorial'!J87/1000/1000</f>
        <v>3.6120000000000002E-3</v>
      </c>
      <c r="J88" s="17">
        <f>'Datos Actividad'!$H84*'FE Sectorial'!$H87*'FE Sectorial'!K87/1000/1000</f>
        <v>7.2239999999999989E-4</v>
      </c>
      <c r="K88" s="17">
        <f>'Datos Actividad'!$H84*'FE Sectorial'!$H87*'FE Sectorial'!L87/1000/1000</f>
        <v>0.24080000000000001</v>
      </c>
      <c r="L88" s="17">
        <f>'Datos Actividad'!$H84*'FE Sectorial'!$H87*'FE Sectorial'!M87/1000/1000</f>
        <v>1.2039999999999999E-2</v>
      </c>
      <c r="M88" s="17">
        <f>'Datos Actividad'!$H84*'FE Sectorial'!$H87*'FE Sectorial'!N87/1000/1000</f>
        <v>6.0199999999999993E-3</v>
      </c>
      <c r="N88" s="17">
        <f>'Datos Actividad'!$H84*'FE Sectorial'!$H87*'FE Sectorial'!O87/1000/1000</f>
        <v>4.3679999999999997E-2</v>
      </c>
      <c r="O88" s="87">
        <f>IF(D88&lt;400,H88+I88*'Factores generales'!$M$41+J88*'Factores generales'!$N$41,I88*'Factores generales'!$M$41+J88*'Factores generales'!$N$41)</f>
        <v>88.624031999999985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Actividad'!$H85*'FE Sectorial'!$H88*'FE Sectorial'!I88*'FE Sectorial'!P88/1000</f>
        <v>0</v>
      </c>
      <c r="I89" s="95">
        <f>'Datos Actividad'!$H85*'FE Sectorial'!$H88*'FE Sectorial'!J88/1000/1000</f>
        <v>0</v>
      </c>
      <c r="J89" s="17">
        <f>'Datos Actividad'!$H85*'FE Sectorial'!$H88*'FE Sectorial'!K88/1000/1000</f>
        <v>0</v>
      </c>
      <c r="K89" s="17">
        <f>'Datos Actividad'!$H85*'FE Sectorial'!$H88*'FE Sectorial'!L88/1000/1000</f>
        <v>0</v>
      </c>
      <c r="L89" s="17">
        <f>'Datos Actividad'!$H85*'FE Sectorial'!$H88*'FE Sectorial'!M88/1000/1000</f>
        <v>0</v>
      </c>
      <c r="M89" s="17">
        <f>'Datos Actividad'!$H85*'FE Sectorial'!$H88*'FE Sectorial'!N88/1000/1000</f>
        <v>0</v>
      </c>
      <c r="N89" s="17">
        <f>'Datos Actividad'!$H85*'FE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6">H91+H92+H93</f>
        <v>5013351.1116532804</v>
      </c>
      <c r="I90" s="15">
        <f t="shared" si="26"/>
        <v>93.514232039999996</v>
      </c>
      <c r="J90" s="15">
        <f t="shared" si="26"/>
        <v>10.009981104000001</v>
      </c>
      <c r="K90" s="15">
        <f t="shared" si="26"/>
        <v>13478.336556000002</v>
      </c>
      <c r="L90" s="15">
        <f t="shared" si="26"/>
        <v>2629.8115212000002</v>
      </c>
      <c r="M90" s="15">
        <f t="shared" si="26"/>
        <v>445.6192302</v>
      </c>
      <c r="N90" s="15">
        <f t="shared" si="26"/>
        <v>79.639560000000003</v>
      </c>
      <c r="O90" s="15">
        <f t="shared" si="26"/>
        <v>5018418.0046683606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Actividad'!$H87*'FE Sectorial'!$H90*'FE Sectorial'!I90*'FE Sectorial'!P90/1000</f>
        <v>4852313.9483662806</v>
      </c>
      <c r="I91" s="17">
        <f>'Datos Actividad'!$H87*'FE Sectorial'!$H90*'FE Sectorial'!J90/1000/1000</f>
        <v>86.92865304</v>
      </c>
      <c r="J91" s="17">
        <f>'Datos Actividad'!$H87*'FE Sectorial'!$H90*'FE Sectorial'!K90/1000/1000</f>
        <v>8.6928653040000015</v>
      </c>
      <c r="K91" s="17">
        <f>'Datos Actividad'!$H87*'FE Sectorial'!$H90*'FE Sectorial'!L90/1000/1000</f>
        <v>13039.297956000002</v>
      </c>
      <c r="L91" s="17">
        <f>'Datos Actividad'!$H87*'FE Sectorial'!$H90*'FE Sectorial'!M90/1000/1000</f>
        <v>2607.8595912000001</v>
      </c>
      <c r="M91" s="17">
        <f>'Datos Actividad'!$H87*'FE Sectorial'!$H90*'FE Sectorial'!N90/1000/1000</f>
        <v>434.64326520000003</v>
      </c>
      <c r="N91" s="17">
        <f>'Datos Actividad'!$H87*'FE Sectorial'!$H90*'FE Sectorial'!O90/1000/1000</f>
        <v>0</v>
      </c>
      <c r="O91" s="87">
        <f>IF(D91&lt;400,H91+I91*'Factores generales'!$M$41+J91*'Factores generales'!$N$41,I91*'Factores generales'!$M$41+J91*'Factores generales'!$N$41)</f>
        <v>4856834.2383243609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Actividad'!$H88*'FE Sectorial'!$H91*'FE Sectorial'!I91*'FE Sectorial'!P91/1000</f>
        <v>161037.16328699997</v>
      </c>
      <c r="I92" s="17">
        <f>'Datos Actividad'!$H88*'FE Sectorial'!$H91*'FE Sectorial'!J91/1000/1000</f>
        <v>6.5855790000000001</v>
      </c>
      <c r="J92" s="17">
        <f>'Datos Actividad'!$H88*'FE Sectorial'!$H91*'FE Sectorial'!K91/1000/1000</f>
        <v>1.3171158000000001</v>
      </c>
      <c r="K92" s="17">
        <f>'Datos Actividad'!$H88*'FE Sectorial'!$H91*'FE Sectorial'!L91/1000/1000</f>
        <v>439.03859999999997</v>
      </c>
      <c r="L92" s="17">
        <f>'Datos Actividad'!$H88*'FE Sectorial'!$H91*'FE Sectorial'!M91/1000/1000</f>
        <v>21.951930000000001</v>
      </c>
      <c r="M92" s="17">
        <f>'Datos Actividad'!$H88*'FE Sectorial'!$H91*'FE Sectorial'!N91/1000/1000</f>
        <v>10.975965</v>
      </c>
      <c r="N92" s="17">
        <f>'Datos Actividad'!$H88*'FE Sectorial'!$H91*'FE Sectorial'!O91/1000/1000</f>
        <v>79.639560000000003</v>
      </c>
      <c r="O92" s="87">
        <f>IF(D92&lt;400,H92+I92*'Factores generales'!$M$41+J92*'Factores generales'!$N$41,I92*'Factores generales'!$M$41+J92*'Factores generales'!$N$41)</f>
        <v>161583.76634399997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Actividad'!$H89*'FE Sectorial'!$H92*'FE Sectorial'!I92*'FE Sectorial'!P92/1000</f>
        <v>0</v>
      </c>
      <c r="I93" s="17">
        <f>'Datos Actividad'!$H89*'FE Sectorial'!$H92*'FE Sectorial'!J92/1000/1000</f>
        <v>0</v>
      </c>
      <c r="J93" s="17">
        <f>'Datos Actividad'!$H89*'FE Sectorial'!$H92*'FE Sectorial'!K92/1000/1000</f>
        <v>0</v>
      </c>
      <c r="K93" s="17">
        <f>'Datos Actividad'!$H89*'FE Sectorial'!$H92*'FE Sectorial'!L92/1000/1000</f>
        <v>0</v>
      </c>
      <c r="L93" s="17">
        <f>'Datos Actividad'!$H89*'FE Sectorial'!$H92*'FE Sectorial'!M92/1000/1000</f>
        <v>0</v>
      </c>
      <c r="M93" s="17">
        <f>'Datos Actividad'!$H89*'FE Sectorial'!$H92*'FE Sectorial'!N92/1000/1000</f>
        <v>0</v>
      </c>
      <c r="N93" s="17">
        <f>'Datos Actividad'!$H89*'FE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942971.70089571644</v>
      </c>
      <c r="I94" s="15">
        <f t="shared" ref="I94:O94" si="27">SUM(I95:I100)</f>
        <v>31.235971317779011</v>
      </c>
      <c r="J94" s="15">
        <f t="shared" si="27"/>
        <v>5.7453842655940033</v>
      </c>
      <c r="K94" s="15">
        <f t="shared" si="27"/>
        <v>2500.5730861534339</v>
      </c>
      <c r="L94" s="15">
        <f t="shared" si="27"/>
        <v>237.93590384907662</v>
      </c>
      <c r="M94" s="15">
        <f t="shared" si="27"/>
        <v>68.786952128358365</v>
      </c>
      <c r="N94" s="15">
        <f t="shared" si="27"/>
        <v>562.31533298420652</v>
      </c>
      <c r="O94" s="15">
        <f t="shared" si="27"/>
        <v>945408.72541572386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Actividad'!$H91*'FE Sectorial'!$H94*'FE Sectorial'!I94*'FE Sectorial'!P94/1000</f>
        <v>0</v>
      </c>
      <c r="I95" s="17">
        <f>'Datos Actividad'!$H91*'FE Sectorial'!$H94*'FE Sectorial'!J94/1000/1000</f>
        <v>0</v>
      </c>
      <c r="J95" s="17">
        <f>'Datos Actividad'!$H91*'FE Sectorial'!$H94*'FE Sectorial'!K94/1000/1000</f>
        <v>0</v>
      </c>
      <c r="K95" s="17">
        <f>'Datos Actividad'!$H91*'FE Sectorial'!$H94*'FE Sectorial'!L94/1000/1000</f>
        <v>0</v>
      </c>
      <c r="L95" s="17">
        <f>'Datos Actividad'!$H91*'FE Sectorial'!$H94*'FE Sectorial'!M94/1000/1000</f>
        <v>0</v>
      </c>
      <c r="M95" s="17">
        <f>'Datos Actividad'!$H91*'FE Sectorial'!$H94*'FE Sectorial'!N94/1000/1000</f>
        <v>0</v>
      </c>
      <c r="N95" s="17">
        <f>'Datos Actividad'!$H91*'FE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Actividad'!$H92*'FE Sectorial'!$H95*'FE Sectorial'!I95*'FE Sectorial'!P95/1000</f>
        <v>313475.68762675673</v>
      </c>
      <c r="I96" s="17">
        <f>'Datos Actividad'!$H92*'FE Sectorial'!$H95*'FE Sectorial'!J95/1000/1000</f>
        <v>5.0180999796179977</v>
      </c>
      <c r="J96" s="17">
        <f>'Datos Actividad'!$H92*'FE Sectorial'!$H95*'FE Sectorial'!K95/1000/1000</f>
        <v>0.50180999796179981</v>
      </c>
      <c r="K96" s="17">
        <f>'Datos Actividad'!$H92*'FE Sectorial'!$H95*'FE Sectorial'!L95/1000/1000</f>
        <v>752.7149969426996</v>
      </c>
      <c r="L96" s="17">
        <f>'Datos Actividad'!$H92*'FE Sectorial'!$H95*'FE Sectorial'!M95/1000/1000</f>
        <v>150.54299938853993</v>
      </c>
      <c r="M96" s="17">
        <f>'Datos Actividad'!$H92*'FE Sectorial'!$H95*'FE Sectorial'!N95/1000/1000</f>
        <v>25.090499898089991</v>
      </c>
      <c r="N96" s="17">
        <f>'Datos Actividad'!$H92*'FE Sectorial'!$H95*'FE Sectorial'!O95/1000/1000</f>
        <v>21.218181731999998</v>
      </c>
      <c r="O96" s="87">
        <f>IF(D96&lt;400,H96+I96*'Factores generales'!$M$41+J96*'Factores generales'!$N$41,I96*'Factores generales'!$M$41+J96*'Factores generales'!$N$41)</f>
        <v>313736.62882569683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Actividad'!$H93*'FE Sectorial'!$H96*'FE Sectorial'!I96*'FE Sectorial'!P96/1000</f>
        <v>194969.0058717785</v>
      </c>
      <c r="I97" s="17">
        <f>'Datos Actividad'!$H93*'FE Sectorial'!$H96*'FE Sectorial'!J96/1000/1000</f>
        <v>7.9732141607074185</v>
      </c>
      <c r="J97" s="17">
        <f>'Datos Actividad'!$H93*'FE Sectorial'!$H96*'FE Sectorial'!K96/1000/1000</f>
        <v>1.5946428321414836</v>
      </c>
      <c r="K97" s="17">
        <f>'Datos Actividad'!$H93*'FE Sectorial'!$H96*'FE Sectorial'!L96/1000/1000</f>
        <v>531.54761071382791</v>
      </c>
      <c r="L97" s="17">
        <f>'Datos Actividad'!$H93*'FE Sectorial'!$H96*'FE Sectorial'!M96/1000/1000</f>
        <v>26.577380535691393</v>
      </c>
      <c r="M97" s="17">
        <f>'Datos Actividad'!$H93*'FE Sectorial'!$H96*'FE Sectorial'!N96/1000/1000</f>
        <v>13.288690267845697</v>
      </c>
      <c r="N97" s="17">
        <f>'Datos Actividad'!$H93*'FE Sectorial'!$H96*'FE Sectorial'!O96/1000/1000</f>
        <v>96.420264269019938</v>
      </c>
      <c r="O97" s="87">
        <f>IF(D97&lt;400,H97+I97*'Factores generales'!$M$41+J97*'Factores generales'!$N$41,I97*'Factores generales'!$M$41+J97*'Factores generales'!$N$41)</f>
        <v>195630.78264711722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Actividad'!$H94*'FE Sectorial'!$H97*'FE Sectorial'!I97*'FE Sectorial'!P97/1000</f>
        <v>165215.00521284016</v>
      </c>
      <c r="I98" s="17">
        <f>'Datos Actividad'!$H94*'FE Sectorial'!$H97*'FE Sectorial'!J97/1000/1000</f>
        <v>6.468366032919902</v>
      </c>
      <c r="J98" s="17">
        <f>'Datos Actividad'!$H94*'FE Sectorial'!$H97*'FE Sectorial'!K97/1000/1000</f>
        <v>1.2936732065839807</v>
      </c>
      <c r="K98" s="17">
        <f>'Datos Actividad'!$H94*'FE Sectorial'!$H97*'FE Sectorial'!L97/1000/1000</f>
        <v>431.22440219466023</v>
      </c>
      <c r="L98" s="17">
        <f>'Datos Actividad'!$H94*'FE Sectorial'!$H97*'FE Sectorial'!M97/1000/1000</f>
        <v>21.561220109733007</v>
      </c>
      <c r="M98" s="17">
        <f>'Datos Actividad'!$H94*'FE Sectorial'!$H97*'FE Sectorial'!N97/1000/1000</f>
        <v>10.780610054866504</v>
      </c>
      <c r="N98" s="17">
        <f>'Datos Actividad'!$H94*'FE Sectorial'!$H97*'FE Sectorial'!O97/1000/1000</f>
        <v>426.9548536580794</v>
      </c>
      <c r="O98" s="87">
        <f>IF(D98&lt;400,H98+I98*'Factores generales'!$M$41+J98*'Factores generales'!$N$41,I98*'Factores generales'!$M$41+J98*'Factores generales'!$N$41)</f>
        <v>165751.87959357249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Actividad'!$H95*'FE Sectorial'!$H98*'FE Sectorial'!I98*'FE Sectorial'!P98/1000</f>
        <v>269312.00218434108</v>
      </c>
      <c r="I99" s="17">
        <f>'Datos Actividad'!$H95*'FE Sectorial'!$H98*'FE Sectorial'!J98/1000/1000</f>
        <v>11.776291144533696</v>
      </c>
      <c r="J99" s="17">
        <f>'Datos Actividad'!$H95*'FE Sectorial'!$H98*'FE Sectorial'!K98/1000/1000</f>
        <v>2.355258228906739</v>
      </c>
      <c r="K99" s="17">
        <f>'Datos Actividad'!$H95*'FE Sectorial'!$H98*'FE Sectorial'!L98/1000/1000</f>
        <v>785.08607630224628</v>
      </c>
      <c r="L99" s="17">
        <f>'Datos Actividad'!$H95*'FE Sectorial'!$H98*'FE Sectorial'!M98/1000/1000</f>
        <v>39.254303815112323</v>
      </c>
      <c r="M99" s="17">
        <f>'Datos Actividad'!$H95*'FE Sectorial'!$H98*'FE Sectorial'!N98/1000/1000</f>
        <v>19.627151907556161</v>
      </c>
      <c r="N99" s="17">
        <f>'Datos Actividad'!$H95*'FE Sectorial'!$H98*'FE Sectorial'!O98/1000/1000</f>
        <v>17.722033325107141</v>
      </c>
      <c r="O99" s="87">
        <f>IF(D99&lt;400,H99+I99*'Factores generales'!$M$41+J99*'Factores generales'!$N$41,I99*'Factores generales'!$M$41+J99*'Factores generales'!$N$41)</f>
        <v>270289.43434933742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Actividad'!$H96*'FE Sectorial'!$H99*'FE Sectorial'!I99*'FE Sectorial'!P99/1000</f>
        <v>0</v>
      </c>
      <c r="I100" s="17">
        <f>'Datos Actividad'!$H96*'FE Sectorial'!$H99*'FE Sectorial'!J99/1000/1000</f>
        <v>0</v>
      </c>
      <c r="J100" s="17">
        <f>'Datos Actividad'!$H96*'FE Sectorial'!$H99*'FE Sectorial'!K99/1000/1000</f>
        <v>0</v>
      </c>
      <c r="K100" s="17">
        <f>'Datos Actividad'!$H96*'FE Sectorial'!$H99*'FE Sectorial'!L99/1000/1000</f>
        <v>0</v>
      </c>
      <c r="L100" s="17">
        <f>'Datos Actividad'!$H96*'FE Sectorial'!$H99*'FE Sectorial'!M99/1000/1000</f>
        <v>0</v>
      </c>
      <c r="M100" s="17">
        <f>'Datos Actividad'!$H96*'FE Sectorial'!$H99*'FE Sectorial'!N99/1000/1000</f>
        <v>0</v>
      </c>
      <c r="N100" s="17">
        <f>'Datos Actividad'!$H96*'FE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8">H102+H107+H116+H118+H125</f>
        <v>53928748.569945998</v>
      </c>
      <c r="I101" s="129">
        <f t="shared" si="28"/>
        <v>16163.563691255647</v>
      </c>
      <c r="J101" s="129">
        <f t="shared" si="28"/>
        <v>3855.8160474343026</v>
      </c>
      <c r="K101" s="129">
        <f t="shared" si="28"/>
        <v>566777.20653177798</v>
      </c>
      <c r="L101" s="129">
        <f t="shared" si="28"/>
        <v>2262967.2354843668</v>
      </c>
      <c r="M101" s="129">
        <f t="shared" si="28"/>
        <v>423629.28200006281</v>
      </c>
      <c r="N101" s="129">
        <f t="shared" si="28"/>
        <v>17363.952013373219</v>
      </c>
      <c r="O101" s="129">
        <f t="shared" si="28"/>
        <v>55463486.382167004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1020291.5176190945</v>
      </c>
      <c r="I102" s="134">
        <f t="shared" ref="I102:O102" si="29">I105</f>
        <v>7.2069754723394395</v>
      </c>
      <c r="J102" s="134">
        <f t="shared" si="29"/>
        <v>28.827901889357758</v>
      </c>
      <c r="K102" s="134">
        <f t="shared" si="29"/>
        <v>3603.4877361697199</v>
      </c>
      <c r="L102" s="134">
        <f t="shared" si="29"/>
        <v>1441.3950944678882</v>
      </c>
      <c r="M102" s="134">
        <f t="shared" si="29"/>
        <v>720.69754723394408</v>
      </c>
      <c r="N102" s="134">
        <f t="shared" si="29"/>
        <v>653.69392039360002</v>
      </c>
      <c r="O102" s="134">
        <f t="shared" si="29"/>
        <v>1029379.5136897145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2170692.4014904443</v>
      </c>
      <c r="I103" s="15">
        <f t="shared" ref="I103:O103" si="30">I104</f>
        <v>15.332997114434162</v>
      </c>
      <c r="J103" s="15">
        <f t="shared" si="30"/>
        <v>61.331988457736649</v>
      </c>
      <c r="K103" s="15">
        <f t="shared" si="30"/>
        <v>7666.4985572170808</v>
      </c>
      <c r="L103" s="15">
        <f t="shared" si="30"/>
        <v>3066.5994228868321</v>
      </c>
      <c r="M103" s="15">
        <f t="shared" si="30"/>
        <v>1533.2997114434161</v>
      </c>
      <c r="N103" s="15">
        <f t="shared" si="30"/>
        <v>1390.7480375904004</v>
      </c>
      <c r="O103" s="15">
        <f t="shared" si="30"/>
        <v>2190027.3108517458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Actividad'!$H100*'FE Sectorial'!$H103*'FE Sectorial'!I103*'FE Sectorial'!P103/1000</f>
        <v>2170692.4014904443</v>
      </c>
      <c r="I104" s="17">
        <f>'Datos Actividad'!$H100*'FE Sectorial'!$H103*'FE Sectorial'!J103/1000/1000</f>
        <v>15.332997114434162</v>
      </c>
      <c r="J104" s="17">
        <f>'Datos Actividad'!$H100*'FE Sectorial'!$H103*'FE Sectorial'!K103/1000/1000</f>
        <v>61.331988457736649</v>
      </c>
      <c r="K104" s="17">
        <f>'Datos Actividad'!$H100*'FE Sectorial'!$H103*'FE Sectorial'!L103/1000/1000</f>
        <v>7666.4985572170808</v>
      </c>
      <c r="L104" s="17">
        <f>'Datos Actividad'!$H100*'FE Sectorial'!$H103*'FE Sectorial'!M103/1000/1000</f>
        <v>3066.5994228868321</v>
      </c>
      <c r="M104" s="17">
        <f>'Datos Actividad'!$H100*'FE Sectorial'!$H103*'FE Sectorial'!N103/1000/1000</f>
        <v>1533.2997114434161</v>
      </c>
      <c r="N104" s="17">
        <f>'Datos Actividad'!$H100*'FE Sectorial'!$H103*'FE Sectorial'!O103/1000/1000</f>
        <v>1390.7480375904004</v>
      </c>
      <c r="O104" s="87">
        <f>IF(D104&lt;400,H104+I104*'Factores generales'!$M$41+J104*'Factores generales'!$N$41,I104*'Factores generales'!$M$41+J104*'Factores generales'!$N$41)</f>
        <v>2190027.3108517458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1020291.5176190945</v>
      </c>
      <c r="I105" s="15">
        <f t="shared" ref="I105:O105" si="31">I106</f>
        <v>7.2069754723394395</v>
      </c>
      <c r="J105" s="15">
        <f t="shared" si="31"/>
        <v>28.827901889357758</v>
      </c>
      <c r="K105" s="15">
        <f t="shared" si="31"/>
        <v>3603.4877361697199</v>
      </c>
      <c r="L105" s="15">
        <f t="shared" si="31"/>
        <v>1441.3950944678882</v>
      </c>
      <c r="M105" s="15">
        <f t="shared" si="31"/>
        <v>720.69754723394408</v>
      </c>
      <c r="N105" s="15">
        <f t="shared" si="31"/>
        <v>653.69392039360002</v>
      </c>
      <c r="O105" s="15">
        <f t="shared" si="31"/>
        <v>1029379.5136897145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Actividad'!$H102*'FE Sectorial'!$H105*'FE Sectorial'!I105*'FE Sectorial'!P105/1000</f>
        <v>1020291.5176190945</v>
      </c>
      <c r="I106" s="17">
        <f>'Datos Actividad'!$H102*'FE Sectorial'!$H105*'FE Sectorial'!J105/1000/1000</f>
        <v>7.2069754723394395</v>
      </c>
      <c r="J106" s="17">
        <f>'Datos Actividad'!$H102*'FE Sectorial'!$H105*'FE Sectorial'!K105/1000/1000</f>
        <v>28.827901889357758</v>
      </c>
      <c r="K106" s="17">
        <f>'Datos Actividad'!$H102*'FE Sectorial'!$H105*'FE Sectorial'!L105/1000/1000</f>
        <v>3603.4877361697199</v>
      </c>
      <c r="L106" s="17">
        <f>'Datos Actividad'!$H102*'FE Sectorial'!$H105*'FE Sectorial'!M105/1000/1000</f>
        <v>1441.3950944678882</v>
      </c>
      <c r="M106" s="17">
        <f>'Datos Actividad'!$H102*'FE Sectorial'!$H105*'FE Sectorial'!N105/1000/1000</f>
        <v>720.69754723394408</v>
      </c>
      <c r="N106" s="17">
        <f>'Datos Actividad'!$H102*'FE Sectorial'!$H105*'FE Sectorial'!O105/1000/1000</f>
        <v>653.69392039360002</v>
      </c>
      <c r="O106" s="87">
        <f>IF(D106&lt;400,H106+I106*'Factores generales'!$M$41+J106*'Factores generales'!$N$41,I106*'Factores generales'!$M$41+J106*'Factores generales'!$N$41)</f>
        <v>1029379.5136897145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32">H108+H114</f>
        <v>48749223.817536429</v>
      </c>
      <c r="I107" s="134">
        <f t="shared" si="32"/>
        <v>15967.328402230762</v>
      </c>
      <c r="J107" s="134">
        <f t="shared" si="32"/>
        <v>3696.2462550799901</v>
      </c>
      <c r="K107" s="134">
        <f t="shared" si="32"/>
        <v>524637.84956129198</v>
      </c>
      <c r="L107" s="134">
        <f t="shared" si="32"/>
        <v>2238859.7753384314</v>
      </c>
      <c r="M107" s="134">
        <f t="shared" si="32"/>
        <v>418329.78664632887</v>
      </c>
      <c r="N107" s="134">
        <f t="shared" si="32"/>
        <v>15029.89208184012</v>
      </c>
      <c r="O107" s="134">
        <f t="shared" si="32"/>
        <v>50230374.05305808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45621753.950979546</v>
      </c>
      <c r="I108" s="15">
        <f t="shared" ref="I108:O108" si="33">I109+I110+I111+I112+I113</f>
        <v>15801.062061637625</v>
      </c>
      <c r="J108" s="15">
        <f t="shared" si="33"/>
        <v>3529.9799144868543</v>
      </c>
      <c r="K108" s="15">
        <f t="shared" si="33"/>
        <v>490531.93354218721</v>
      </c>
      <c r="L108" s="15">
        <f t="shared" si="33"/>
        <v>2196227.3803145504</v>
      </c>
      <c r="M108" s="15">
        <f t="shared" si="33"/>
        <v>409803.30764155264</v>
      </c>
      <c r="N108" s="15">
        <f t="shared" si="33"/>
        <v>13483.228448415601</v>
      </c>
      <c r="O108" s="15">
        <f t="shared" si="33"/>
        <v>47047870.027764864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Actividad'!$H105*'FE Sectorial'!$H108*'FE Sectorial'!I108*'FE Sectorial'!P108/1000</f>
        <v>5319077.501371392</v>
      </c>
      <c r="I109" s="17">
        <f>'Datos Actividad'!$H105*'FE Sectorial'!$H108*'FE Sectorial'!J108/1000/1000</f>
        <v>8766.7415531520001</v>
      </c>
      <c r="J109" s="17">
        <f>'Datos Actividad'!$H105*'FE Sectorial'!$H108*'FE Sectorial'!K108/1000/1000</f>
        <v>285.87200716799998</v>
      </c>
      <c r="K109" s="17">
        <f>'Datos Actividad'!$H105*'FE Sectorial'!$H108*'FE Sectorial'!L108/1000/1000</f>
        <v>57174.401433600004</v>
      </c>
      <c r="L109" s="17">
        <f>'Datos Actividad'!$H105*'FE Sectorial'!$H108*'FE Sectorial'!M108/1000/1000</f>
        <v>38116.267622399995</v>
      </c>
      <c r="M109" s="17">
        <f>'Datos Actividad'!$H105*'FE Sectorial'!$H108*'FE Sectorial'!N108/1000/1000</f>
        <v>476.45334527999995</v>
      </c>
      <c r="N109" s="17">
        <f>'Datos Actividad'!$H105*'FE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5591799.3962096637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Actividad'!$H106*'FE Sectorial'!$H109*'FE Sectorial'!I109*'FE Sectorial'!P109/1000</f>
        <v>25262867.215496372</v>
      </c>
      <c r="I110" s="17">
        <f>'Datos Actividad'!$H106*'FE Sectorial'!$H109*'FE Sectorial'!J109/1000/1000</f>
        <v>1343.0551417063464</v>
      </c>
      <c r="J110" s="17">
        <f>'Datos Actividad'!$H106*'FE Sectorial'!$H109*'FE Sectorial'!K109/1000/1000</f>
        <v>1343.0551417063464</v>
      </c>
      <c r="K110" s="17">
        <f>'Datos Actividad'!$H106*'FE Sectorial'!$H109*'FE Sectorial'!L109/1000/1000</f>
        <v>275498.49060642999</v>
      </c>
      <c r="L110" s="17">
        <f>'Datos Actividad'!$H106*'FE Sectorial'!$H109*'FE Sectorial'!M109/1000/1000</f>
        <v>344373.11325803748</v>
      </c>
      <c r="M110" s="17">
        <f>'Datos Actividad'!$H106*'FE Sectorial'!$H109*'FE Sectorial'!N109/1000/1000</f>
        <v>68874.622651607497</v>
      </c>
      <c r="N110" s="17">
        <f>'Datos Actividad'!$H106*'FE Sectorial'!$H109*'FE Sectorial'!O109/1000/1000</f>
        <v>12493.5362019195</v>
      </c>
      <c r="O110" s="87">
        <f>IF(D110&lt;400,H110+I110*'Factores generales'!$M$41+J110*'Factores generales'!$N$41,I110*'Factores generales'!$M$41+J110*'Factores generales'!$N$41)</f>
        <v>25707418.467401173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Actividad'!$H107*'FE Sectorial'!$H110*'FE Sectorial'!I110*'FE Sectorial'!P110/1000</f>
        <v>15039809.23411178</v>
      </c>
      <c r="I111" s="17">
        <f>'Datos Actividad'!$H107*'FE Sectorial'!$H110*'FE Sectorial'!J110/1000/1000</f>
        <v>5480.4208149721535</v>
      </c>
      <c r="J111" s="17">
        <f>'Datos Actividad'!$H107*'FE Sectorial'!$H110*'FE Sectorial'!K110/1000/1000</f>
        <v>1753.734660791089</v>
      </c>
      <c r="K111" s="17">
        <f>'Datos Actividad'!$H107*'FE Sectorial'!$H110*'FE Sectorial'!L110/1000/1000</f>
        <v>131530.09955933169</v>
      </c>
      <c r="L111" s="17">
        <f>'Datos Actividad'!$H107*'FE Sectorial'!$H110*'FE Sectorial'!M110/1000/1000</f>
        <v>1753734.6607910891</v>
      </c>
      <c r="M111" s="17">
        <f>'Datos Actividad'!$H107*'FE Sectorial'!$H110*'FE Sectorial'!N110/1000/1000</f>
        <v>328825.24889832921</v>
      </c>
      <c r="N111" s="17">
        <f>'Datos Actividad'!$H107*'FE Sectorial'!$H110*'FE Sectorial'!O110/1000/1000</f>
        <v>989.69224649609998</v>
      </c>
      <c r="O111" s="87">
        <f>IF(D111&lt;400,H111+I111*'Factores generales'!$M$41+J111*'Factores generales'!$N$41,I111*'Factores generales'!$M$41+J111*'Factores generales'!$N$41)</f>
        <v>15698555.816071434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Actividad'!$H108*'FE Sectorial'!$H111*'FE Sectorial'!I111*'FE Sectorial'!P111/1000</f>
        <v>2208732.3903727145</v>
      </c>
      <c r="I112" s="17">
        <f>'Datos Actividad'!$H108*'FE Sectorial'!$H111*'FE Sectorial'!J111/1000/1000</f>
        <v>117.4233062399104</v>
      </c>
      <c r="J112" s="17">
        <f>'Datos Actividad'!$H108*'FE Sectorial'!$H111*'FE Sectorial'!K111/1000/1000</f>
        <v>117.4233062399104</v>
      </c>
      <c r="K112" s="17">
        <f>'Datos Actividad'!$H108*'FE Sectorial'!$H111*'FE Sectorial'!L111/1000/1000</f>
        <v>24086.832049212397</v>
      </c>
      <c r="L112" s="17">
        <f>'Datos Actividad'!$H108*'FE Sectorial'!$H111*'FE Sectorial'!M111/1000/1000</f>
        <v>30108.54006151549</v>
      </c>
      <c r="M112" s="17">
        <f>'Datos Actividad'!$H108*'FE Sectorial'!$H111*'FE Sectorial'!N111/1000/1000</f>
        <v>6021.7080123030992</v>
      </c>
      <c r="N112" s="17">
        <f>'Datos Actividad'!$H108*'FE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38867.114365410336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Actividad'!$H109*'FE Sectorial'!$H112*'FE Sectorial'!I112*'FE Sectorial'!P112/1000</f>
        <v>261923.27777188542</v>
      </c>
      <c r="I113" s="17">
        <f>'Datos Actividad'!$H109*'FE Sectorial'!$H112*'FE Sectorial'!J112/1000/1000</f>
        <v>93.421245567213617</v>
      </c>
      <c r="J113" s="17">
        <f>'Datos Actividad'!$H109*'FE Sectorial'!$H112*'FE Sectorial'!K112/1000/1000</f>
        <v>29.894798581508351</v>
      </c>
      <c r="K113" s="17">
        <f>'Datos Actividad'!$H109*'FE Sectorial'!$H112*'FE Sectorial'!L112/1000/1000</f>
        <v>2242.1098936131261</v>
      </c>
      <c r="L113" s="17">
        <f>'Datos Actividad'!$H109*'FE Sectorial'!$H112*'FE Sectorial'!M112/1000/1000</f>
        <v>29894.798581508352</v>
      </c>
      <c r="M113" s="17">
        <f>'Datos Actividad'!$H109*'FE Sectorial'!$H112*'FE Sectorial'!N112/1000/1000</f>
        <v>5605.274734032816</v>
      </c>
      <c r="N113" s="17">
        <f>'Datos Actividad'!$H109*'FE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11229.233717179075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3127469.8665568852</v>
      </c>
      <c r="I114" s="15">
        <f t="shared" ref="I114:O114" si="34">I115</f>
        <v>166.26634059313588</v>
      </c>
      <c r="J114" s="15">
        <f t="shared" si="34"/>
        <v>166.26634059313588</v>
      </c>
      <c r="K114" s="15">
        <f t="shared" si="34"/>
        <v>34105.916019104792</v>
      </c>
      <c r="L114" s="15">
        <f t="shared" si="34"/>
        <v>42632.395023880999</v>
      </c>
      <c r="M114" s="15">
        <f t="shared" si="34"/>
        <v>8526.4790047761981</v>
      </c>
      <c r="N114" s="15">
        <f t="shared" si="34"/>
        <v>1546.6636334245197</v>
      </c>
      <c r="O114" s="15">
        <f t="shared" si="34"/>
        <v>3182504.0252932133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Actividad'!$H111*'FE Sectorial'!$H114*'FE Sectorial'!I114*'FE Sectorial'!P114/1000</f>
        <v>3127469.8665568852</v>
      </c>
      <c r="I115" s="17">
        <f>'Datos Actividad'!$H111*'FE Sectorial'!$H114*'FE Sectorial'!J114/1000/1000</f>
        <v>166.26634059313588</v>
      </c>
      <c r="J115" s="17">
        <f>'Datos Actividad'!$H111*'FE Sectorial'!$H114*'FE Sectorial'!K114/1000/1000</f>
        <v>166.26634059313588</v>
      </c>
      <c r="K115" s="17">
        <f>'Datos Actividad'!$H111*'FE Sectorial'!$H114*'FE Sectorial'!L114/1000/1000</f>
        <v>34105.916019104792</v>
      </c>
      <c r="L115" s="17">
        <f>'Datos Actividad'!$H111*'FE Sectorial'!$H114*'FE Sectorial'!M114/1000/1000</f>
        <v>42632.395023880999</v>
      </c>
      <c r="M115" s="17">
        <f>'Datos Actividad'!$H111*'FE Sectorial'!$H114*'FE Sectorial'!N114/1000/1000</f>
        <v>8526.4790047761981</v>
      </c>
      <c r="N115" s="17">
        <f>'Datos Actividad'!$H111*'FE Sectorial'!$H114*'FE Sectorial'!O114/1000/1000</f>
        <v>1546.6636334245197</v>
      </c>
      <c r="O115" s="87">
        <f>IF(D115&lt;400,H115+I115*'Factores generales'!$M$41+J115*'Factores generales'!$N$41,I115*'Factores generales'!$M$41+J115*'Factores generales'!$N$41)</f>
        <v>3182504.0252932133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227983.69724947243</v>
      </c>
      <c r="I116" s="134">
        <f t="shared" ref="I116:O116" si="35">I117</f>
        <v>12.897290633532503</v>
      </c>
      <c r="J116" s="134">
        <f t="shared" si="35"/>
        <v>88.88253304073001</v>
      </c>
      <c r="K116" s="134">
        <f t="shared" si="35"/>
        <v>3729.3370506599999</v>
      </c>
      <c r="L116" s="134">
        <f t="shared" si="35"/>
        <v>3107.78087555</v>
      </c>
      <c r="M116" s="134">
        <f t="shared" si="35"/>
        <v>621.55617511000003</v>
      </c>
      <c r="N116" s="134">
        <f t="shared" si="35"/>
        <v>112.747399206</v>
      </c>
      <c r="O116" s="134">
        <f t="shared" si="35"/>
        <v>255808.12559540293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Actividad'!$H113*'FE Sectorial'!$H116*'FE Sectorial'!I116*'FE Sectorial'!P116/1000</f>
        <v>227983.69724947243</v>
      </c>
      <c r="I117" s="17">
        <f>'Datos Actividad'!$H113*'FE Sectorial'!$H116*'FE Sectorial'!J116/1000/1000</f>
        <v>12.897290633532503</v>
      </c>
      <c r="J117" s="17">
        <f>'Datos Actividad'!$H113*'FE Sectorial'!$H116*'FE Sectorial'!K116/1000/1000</f>
        <v>88.88253304073001</v>
      </c>
      <c r="K117" s="17">
        <f>'Datos Actividad'!$H113*'FE Sectorial'!$H116*'FE Sectorial'!L116/1000/1000</f>
        <v>3729.3370506599999</v>
      </c>
      <c r="L117" s="17">
        <f>'Datos Actividad'!$H113*'FE Sectorial'!$H116*'FE Sectorial'!M116/1000/1000</f>
        <v>3107.78087555</v>
      </c>
      <c r="M117" s="17">
        <f>'Datos Actividad'!$H113*'FE Sectorial'!$H116*'FE Sectorial'!N116/1000/1000</f>
        <v>621.55617511000003</v>
      </c>
      <c r="N117" s="17">
        <f>'Datos Actividad'!$H113*'FE Sectorial'!$H116*'FE Sectorial'!O116/1000/1000</f>
        <v>112.747399206</v>
      </c>
      <c r="O117" s="87">
        <f>IF(D117&lt;400,H117+I117*'Factores generales'!$M$41+J117*'Factores generales'!$N$41,I117*'Factores generales'!$M$41+J117*'Factores generales'!$N$41)</f>
        <v>255808.12559540293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1385913.6848720729</v>
      </c>
      <c r="I118" s="134">
        <f t="shared" ref="I118:O118" si="36">I122</f>
        <v>130.52911271251247</v>
      </c>
      <c r="J118" s="134">
        <f t="shared" si="36"/>
        <v>37.294032203575</v>
      </c>
      <c r="K118" s="134">
        <f t="shared" si="36"/>
        <v>27970.52415268125</v>
      </c>
      <c r="L118" s="134">
        <f t="shared" si="36"/>
        <v>18647.0161017875</v>
      </c>
      <c r="M118" s="134">
        <f t="shared" si="36"/>
        <v>3729.4032203575002</v>
      </c>
      <c r="N118" s="134">
        <f t="shared" si="36"/>
        <v>1566.9977319335001</v>
      </c>
      <c r="O118" s="134">
        <f t="shared" si="36"/>
        <v>1400215.9462221437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4392696.6847581621</v>
      </c>
      <c r="I119" s="15">
        <f t="shared" ref="I119:O119" si="37">I120+I121</f>
        <v>404.25446234393848</v>
      </c>
      <c r="J119" s="15">
        <f t="shared" si="37"/>
        <v>115.50127495541099</v>
      </c>
      <c r="K119" s="15">
        <f t="shared" si="37"/>
        <v>86625.956216558247</v>
      </c>
      <c r="L119" s="15">
        <f t="shared" si="37"/>
        <v>57750.637477705495</v>
      </c>
      <c r="M119" s="15">
        <f t="shared" si="37"/>
        <v>11550.127495541099</v>
      </c>
      <c r="N119" s="15">
        <f t="shared" si="37"/>
        <v>9826.5974100860585</v>
      </c>
      <c r="O119" s="15">
        <f t="shared" si="37"/>
        <v>4436991.4237035625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Actividad'!$H116*'FE Sectorial'!$H119*'FE Sectorial'!I119*'FE Sectorial'!P119/1000</f>
        <v>729854.96948176972</v>
      </c>
      <c r="I120" s="17">
        <f>'Datos Actividad'!$H116*'FE Sectorial'!$H119*'FE Sectorial'!J119/1000/1000</f>
        <v>69.643599099938498</v>
      </c>
      <c r="J120" s="17">
        <f>'Datos Actividad'!$H116*'FE Sectorial'!$H119*'FE Sectorial'!K119/1000/1000</f>
        <v>19.898171171411001</v>
      </c>
      <c r="K120" s="17">
        <f>'Datos Actividad'!$H116*'FE Sectorial'!$H119*'FE Sectorial'!L119/1000/1000</f>
        <v>14923.628378558251</v>
      </c>
      <c r="L120" s="17">
        <f>'Datos Actividad'!$H116*'FE Sectorial'!$H119*'FE Sectorial'!M119/1000/1000</f>
        <v>9949.0855857054994</v>
      </c>
      <c r="M120" s="17">
        <f>'Datos Actividad'!$H116*'FE Sectorial'!$H119*'FE Sectorial'!N119/1000/1000</f>
        <v>1989.8171171411</v>
      </c>
      <c r="N120" s="17">
        <f>'Datos Actividad'!$H116*'FE Sectorial'!$H119*'FE Sectorial'!O119/1000/1000</f>
        <v>360.94357008605999</v>
      </c>
      <c r="O120" s="87">
        <f>IF(D120&lt;400,H120+I120*'Factores generales'!$M$41+J120*'Factores generales'!$N$41,I120*'Factores generales'!$M$41+J120*'Factores generales'!$N$41)</f>
        <v>737485.91812600591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Actividad'!$H117*'FE Sectorial'!$H120*'FE Sectorial'!I120*'FE Sectorial'!P120/1000</f>
        <v>3662841.7152763922</v>
      </c>
      <c r="I121" s="17">
        <f>'Datos Actividad'!$H117*'FE Sectorial'!$H120*'FE Sectorial'!J120/1000/1000</f>
        <v>334.61086324399997</v>
      </c>
      <c r="J121" s="17">
        <f>'Datos Actividad'!$H117*'FE Sectorial'!$H120*'FE Sectorial'!K120/1000/1000</f>
        <v>95.603103783999998</v>
      </c>
      <c r="K121" s="17">
        <f>'Datos Actividad'!$H117*'FE Sectorial'!$H120*'FE Sectorial'!L120/1000/1000</f>
        <v>71702.327837999997</v>
      </c>
      <c r="L121" s="17">
        <f>'Datos Actividad'!$H117*'FE Sectorial'!$H120*'FE Sectorial'!M120/1000/1000</f>
        <v>47801.551891999996</v>
      </c>
      <c r="M121" s="17">
        <f>'Datos Actividad'!$H117*'FE Sectorial'!$H120*'FE Sectorial'!N120/1000/1000</f>
        <v>9560.3103783999995</v>
      </c>
      <c r="N121" s="17">
        <f>'Datos Actividad'!$H117*'FE Sectorial'!$H120*'FE Sectorial'!O120/1000/1000</f>
        <v>9465.653839999999</v>
      </c>
      <c r="O121" s="87">
        <f>IF(D121&lt;400,H121+I121*'Factores generales'!$M$41+J121*'Factores generales'!$N$41,I121*'Factores generales'!$M$41+J121*'Factores generales'!$N$41)</f>
        <v>3699505.5055775563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1385913.6848720729</v>
      </c>
      <c r="I122" s="15">
        <f t="shared" ref="I122:O122" si="38">I123+I124</f>
        <v>130.52911271251247</v>
      </c>
      <c r="J122" s="15">
        <f t="shared" si="38"/>
        <v>37.294032203575</v>
      </c>
      <c r="K122" s="15">
        <f t="shared" si="38"/>
        <v>27970.52415268125</v>
      </c>
      <c r="L122" s="15">
        <f t="shared" si="38"/>
        <v>18647.0161017875</v>
      </c>
      <c r="M122" s="15">
        <f t="shared" si="38"/>
        <v>3729.4032203575002</v>
      </c>
      <c r="N122" s="15">
        <f t="shared" si="38"/>
        <v>1566.9977319335001</v>
      </c>
      <c r="O122" s="15">
        <f t="shared" si="38"/>
        <v>1400215.9462221437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Actividad'!$H119*'FE Sectorial'!$H122*'FE Sectorial'!I122*'FE Sectorial'!P122/1000</f>
        <v>964031.36573123198</v>
      </c>
      <c r="I123" s="17">
        <f>'Datos Actividad'!$H119*'FE Sectorial'!$H122*'FE Sectorial'!J122/1000/1000</f>
        <v>91.988979676912493</v>
      </c>
      <c r="J123" s="17">
        <f>'Datos Actividad'!$H119*'FE Sectorial'!$H122*'FE Sectorial'!K122/1000/1000</f>
        <v>26.282565621975003</v>
      </c>
      <c r="K123" s="17">
        <f>'Datos Actividad'!$H119*'FE Sectorial'!$H122*'FE Sectorial'!L122/1000/1000</f>
        <v>19711.924216481249</v>
      </c>
      <c r="L123" s="17">
        <f>'Datos Actividad'!$H119*'FE Sectorial'!$H122*'FE Sectorial'!M122/1000/1000</f>
        <v>13141.282810987501</v>
      </c>
      <c r="M123" s="17">
        <f>'Datos Actividad'!$H119*'FE Sectorial'!$H122*'FE Sectorial'!N122/1000/1000</f>
        <v>2628.2565621975004</v>
      </c>
      <c r="N123" s="17">
        <f>'Datos Actividad'!$H119*'FE Sectorial'!$H122*'FE Sectorial'!O122/1000/1000</f>
        <v>476.75351593350007</v>
      </c>
      <c r="O123" s="87">
        <f>IF(D123&lt;400,H123+I123*'Factores generales'!$M$41+J123*'Factores generales'!$N$41,I123*'Factores generales'!$M$41+J123*'Factores generales'!$N$41)</f>
        <v>974110.72964725934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Actividad'!$H120*'FE Sectorial'!$H123*'FE Sectorial'!I123*'FE Sectorial'!P123/1000</f>
        <v>421882.31914084085</v>
      </c>
      <c r="I124" s="17">
        <f>'Datos Actividad'!$H120*'FE Sectorial'!$H123*'FE Sectorial'!J123/1000/1000</f>
        <v>38.540133035599993</v>
      </c>
      <c r="J124" s="17">
        <f>'Datos Actividad'!$H120*'FE Sectorial'!$H123*'FE Sectorial'!K123/1000/1000</f>
        <v>11.011466581600001</v>
      </c>
      <c r="K124" s="17">
        <f>'Datos Actividad'!$H120*'FE Sectorial'!$H123*'FE Sectorial'!L123/1000/1000</f>
        <v>8258.5999362000002</v>
      </c>
      <c r="L124" s="17">
        <f>'Datos Actividad'!$H120*'FE Sectorial'!$H123*'FE Sectorial'!M123/1000/1000</f>
        <v>5505.7332907999998</v>
      </c>
      <c r="M124" s="17">
        <f>'Datos Actividad'!$H120*'FE Sectorial'!$H123*'FE Sectorial'!N123/1000/1000</f>
        <v>1101.1466581599998</v>
      </c>
      <c r="N124" s="17">
        <f>'Datos Actividad'!$H120*'FE Sectorial'!$H123*'FE Sectorial'!O123/1000/1000</f>
        <v>1090.2442160000001</v>
      </c>
      <c r="O124" s="87">
        <f>IF(D124&lt;400,H124+I124*'Factores generales'!$M$41+J124*'Factores generales'!$N$41,I124*'Factores generales'!$M$41+J124*'Factores generales'!$N$41)</f>
        <v>426105.21657488443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9">H126+H130</f>
        <v>2545335.8526689284</v>
      </c>
      <c r="I125" s="134">
        <f t="shared" si="39"/>
        <v>45.601910206500008</v>
      </c>
      <c r="J125" s="134">
        <f t="shared" si="39"/>
        <v>4.5653252206500019</v>
      </c>
      <c r="K125" s="134">
        <f t="shared" si="39"/>
        <v>6836.008030975001</v>
      </c>
      <c r="L125" s="134">
        <f t="shared" si="39"/>
        <v>911.26807413000029</v>
      </c>
      <c r="M125" s="134">
        <f t="shared" si="39"/>
        <v>227.83841103250006</v>
      </c>
      <c r="N125" s="134">
        <f t="shared" si="39"/>
        <v>0.62087999999999999</v>
      </c>
      <c r="O125" s="134">
        <f t="shared" si="39"/>
        <v>2547708.7436016668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40">H127+H128+H129</f>
        <v>2545335.8526689284</v>
      </c>
      <c r="I126" s="15">
        <f t="shared" si="40"/>
        <v>45.601910206500008</v>
      </c>
      <c r="J126" s="15">
        <f t="shared" si="40"/>
        <v>4.5653252206500019</v>
      </c>
      <c r="K126" s="15">
        <f t="shared" si="40"/>
        <v>6836.008030975001</v>
      </c>
      <c r="L126" s="15">
        <f t="shared" si="40"/>
        <v>911.26807413000029</v>
      </c>
      <c r="M126" s="15">
        <f t="shared" si="40"/>
        <v>227.83841103250006</v>
      </c>
      <c r="N126" s="15">
        <f t="shared" si="40"/>
        <v>0.62087999999999999</v>
      </c>
      <c r="O126" s="15">
        <f t="shared" si="40"/>
        <v>2547708.7436016668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Actividad'!$H123*'FE Sectorial'!$H126*'FE Sectorial'!I126*'FE Sectorial'!P126/1000</f>
        <v>2487615.3087192005</v>
      </c>
      <c r="I127" s="17">
        <f>'Datos Actividad'!$H123*'FE Sectorial'!$H126*'FE Sectorial'!J126/1000/1000</f>
        <v>44.565345600000008</v>
      </c>
      <c r="J127" s="17">
        <f>'Datos Actividad'!$H123*'FE Sectorial'!$H126*'FE Sectorial'!K126/1000/1000</f>
        <v>4.4565345600000015</v>
      </c>
      <c r="K127" s="17">
        <f>'Datos Actividad'!$H123*'FE Sectorial'!$H126*'FE Sectorial'!L126/1000/1000</f>
        <v>6684.801840000001</v>
      </c>
      <c r="L127" s="17">
        <f>'Datos Actividad'!$H123*'FE Sectorial'!$H126*'FE Sectorial'!M126/1000/1000</f>
        <v>891.30691200000024</v>
      </c>
      <c r="M127" s="17">
        <f>'Datos Actividad'!$H123*'FE Sectorial'!$H126*'FE Sectorial'!N126/1000/1000</f>
        <v>222.82672800000006</v>
      </c>
      <c r="N127" s="17">
        <f>'Datos Actividad'!$H123*'FE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2489932.7066904008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Actividad'!$H124*'FE Sectorial'!$H127*'FE Sectorial'!I127*'FE Sectorial'!P127/1000</f>
        <v>1255.4659260000001</v>
      </c>
      <c r="I128" s="17">
        <f>'Datos Actividad'!$H124*'FE Sectorial'!$H127*'FE Sectorial'!J127/1000/1000</f>
        <v>5.1341999999999999E-2</v>
      </c>
      <c r="J128" s="17">
        <f>'Datos Actividad'!$H124*'FE Sectorial'!$H127*'FE Sectorial'!K127/1000/1000</f>
        <v>1.02684E-2</v>
      </c>
      <c r="K128" s="17">
        <f>'Datos Actividad'!$H124*'FE Sectorial'!$H127*'FE Sectorial'!L127/1000/1000</f>
        <v>3.4228000000000001</v>
      </c>
      <c r="L128" s="17">
        <f>'Datos Actividad'!$H124*'FE Sectorial'!$H127*'FE Sectorial'!M127/1000/1000</f>
        <v>0.25670999999999999</v>
      </c>
      <c r="M128" s="17">
        <f>'Datos Actividad'!$H124*'FE Sectorial'!$H127*'FE Sectorial'!N127/1000/1000</f>
        <v>8.5569999999999993E-2</v>
      </c>
      <c r="N128" s="17">
        <f>'Datos Actividad'!$H124*'FE Sectorial'!$H127*'FE Sectorial'!O127/1000/1000</f>
        <v>0.62087999999999999</v>
      </c>
      <c r="O128" s="87">
        <f>IF(D128&lt;400,H128+I128*'Factores generales'!$M$41+J128*'Factores generales'!$N$41,I128*'Factores generales'!$M$41+J128*'Factores generales'!$N$41)</f>
        <v>1259.727312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Actividad'!$H125*'FE Sectorial'!$H128*'FE Sectorial'!I128*'FE Sectorial'!P128/1000</f>
        <v>56465.078023728005</v>
      </c>
      <c r="I129" s="17">
        <f>'Datos Actividad'!$H125*'FE Sectorial'!$H128*'FE Sectorial'!J128/1000/1000</f>
        <v>0.98522260649999993</v>
      </c>
      <c r="J129" s="17">
        <f>'Datos Actividad'!$H125*'FE Sectorial'!$H128*'FE Sectorial'!K128/1000/1000</f>
        <v>9.8522260650000013E-2</v>
      </c>
      <c r="K129" s="17">
        <f>'Datos Actividad'!$H125*'FE Sectorial'!$H128*'FE Sectorial'!L128/1000/1000</f>
        <v>147.78339097499997</v>
      </c>
      <c r="L129" s="17">
        <f>'Datos Actividad'!$H125*'FE Sectorial'!$H128*'FE Sectorial'!M128/1000/1000</f>
        <v>19.704452129999996</v>
      </c>
      <c r="M129" s="17">
        <f>'Datos Actividad'!$H125*'FE Sectorial'!$H128*'FE Sectorial'!N128/1000/1000</f>
        <v>4.9261130324999991</v>
      </c>
      <c r="N129" s="17">
        <f>'Datos Actividad'!$H125*'FE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56516.309599266009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41">H132+H138+H145</f>
        <v>35535841.458090223</v>
      </c>
      <c r="I131" s="129">
        <f t="shared" si="41"/>
        <v>3306.7269899670227</v>
      </c>
      <c r="J131" s="129">
        <f t="shared" si="41"/>
        <v>198.89063017307774</v>
      </c>
      <c r="K131" s="129">
        <f t="shared" si="41"/>
        <v>213187.34928937824</v>
      </c>
      <c r="L131" s="129">
        <f t="shared" si="41"/>
        <v>252642.51577777229</v>
      </c>
      <c r="M131" s="129">
        <f t="shared" si="41"/>
        <v>31055.825005801427</v>
      </c>
      <c r="N131" s="129">
        <f t="shared" si="41"/>
        <v>7304.7761866729143</v>
      </c>
      <c r="O131" s="129">
        <f t="shared" si="41"/>
        <v>35666938.820233181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3888102.20997898</v>
      </c>
      <c r="I132" s="134">
        <f>SUM(I133:I137)</f>
        <v>139.10810787540575</v>
      </c>
      <c r="J132" s="134">
        <f t="shared" ref="J132:O132" si="42">SUM(J133:J137)</f>
        <v>17.244374693063964</v>
      </c>
      <c r="K132" s="134">
        <f t="shared" si="42"/>
        <v>10156.442606369023</v>
      </c>
      <c r="L132" s="134">
        <f t="shared" si="42"/>
        <v>13808.10485790002</v>
      </c>
      <c r="M132" s="134">
        <f t="shared" si="42"/>
        <v>1603.998314019919</v>
      </c>
      <c r="N132" s="134">
        <f t="shared" si="42"/>
        <v>834.58795838681726</v>
      </c>
      <c r="O132" s="134">
        <f t="shared" si="42"/>
        <v>3896369.2363992138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Actividad'!$H129*'FE Sectorial'!$H132*'FE Sectorial'!I132*'FE Sectorial'!P132/1000</f>
        <v>205546.63681312386</v>
      </c>
      <c r="I133" s="17">
        <f>'Datos Actividad'!$H129*'FE Sectorial'!$H132*'FE Sectorial'!J132/1000/1000</f>
        <v>63.284063058227794</v>
      </c>
      <c r="J133" s="17">
        <f>'Datos Actividad'!$H129*'FE Sectorial'!$H132*'FE Sectorial'!K132/1000/1000</f>
        <v>8.437875074430373</v>
      </c>
      <c r="K133" s="17">
        <f>'Datos Actividad'!$H129*'FE Sectorial'!$H132*'FE Sectorial'!L132/1000/1000</f>
        <v>210.94687686075932</v>
      </c>
      <c r="L133" s="17">
        <f>'Datos Actividad'!$H129*'FE Sectorial'!$H132*'FE Sectorial'!M132/1000/1000</f>
        <v>10547.343843037967</v>
      </c>
      <c r="M133" s="17">
        <f>'Datos Actividad'!$H129*'FE Sectorial'!$H132*'FE Sectorial'!N132/1000/1000</f>
        <v>1265.6812611645557</v>
      </c>
      <c r="N133" s="17">
        <f>'Datos Actividad'!$H129*'FE Sectorial'!$H132*'FE Sectorial'!O132/1000/1000</f>
        <v>540.88942784810081</v>
      </c>
      <c r="O133" s="87">
        <f>IF(D133&lt;400,H133+I133*'Factores generales'!$M$41+J133*'Factores generales'!$N$41,I133*'Factores generales'!$M$41+J133*'Factores generales'!$N$41)</f>
        <v>3944.7065972961991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Actividad'!$H130*'FE Sectorial'!$H133*'FE Sectorial'!I133*'FE Sectorial'!P133/1000</f>
        <v>3237467.6730005285</v>
      </c>
      <c r="I134" s="17">
        <f>'Datos Actividad'!$H130*'FE Sectorial'!$H133*'FE Sectorial'!J133/1000/1000</f>
        <v>57.998865504000001</v>
      </c>
      <c r="J134" s="17">
        <f>'Datos Actividad'!$H130*'FE Sectorial'!$H133*'FE Sectorial'!K133/1000/1000</f>
        <v>5.7998865504000001</v>
      </c>
      <c r="K134" s="17">
        <f>'Datos Actividad'!$H130*'FE Sectorial'!$H133*'FE Sectorial'!L133/1000/1000</f>
        <v>8699.8298255999998</v>
      </c>
      <c r="L134" s="17">
        <f>'Datos Actividad'!$H130*'FE Sectorial'!$H133*'FE Sectorial'!M133/1000/1000</f>
        <v>2899.9432752000002</v>
      </c>
      <c r="M134" s="17">
        <f>'Datos Actividad'!$H130*'FE Sectorial'!$H133*'FE Sectorial'!N133/1000/1000</f>
        <v>289.99432752000001</v>
      </c>
      <c r="N134" s="17">
        <f>'Datos Actividad'!$H130*'FE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3240483.6140067363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Actividad'!$H131*'FE Sectorial'!$H134*'FE Sectorial'!I134*'FE Sectorial'!P134/1000</f>
        <v>348841.13543498528</v>
      </c>
      <c r="I135" s="17">
        <f>'Datos Actividad'!$H131*'FE Sectorial'!$H134*'FE Sectorial'!J134/1000/1000</f>
        <v>5.5842279440199984</v>
      </c>
      <c r="J135" s="17">
        <f>'Datos Actividad'!$H131*'FE Sectorial'!$H134*'FE Sectorial'!K134/1000/1000</f>
        <v>0.55842279440199993</v>
      </c>
      <c r="K135" s="17">
        <f>'Datos Actividad'!$H131*'FE Sectorial'!$H134*'FE Sectorial'!L134/1000/1000</f>
        <v>837.63419160299986</v>
      </c>
      <c r="L135" s="17">
        <f>'Datos Actividad'!$H131*'FE Sectorial'!$H134*'FE Sectorial'!M134/1000/1000</f>
        <v>279.2113972009999</v>
      </c>
      <c r="M135" s="17">
        <f>'Datos Actividad'!$H131*'FE Sectorial'!$H134*'FE Sectorial'!N134/1000/1000</f>
        <v>27.921139720099994</v>
      </c>
      <c r="N135" s="17">
        <f>'Datos Actividad'!$H131*'FE Sectorial'!$H134*'FE Sectorial'!O134/1000/1000</f>
        <v>23.611957479999997</v>
      </c>
      <c r="O135" s="87">
        <f>IF(D135&lt;400,H135+I135*'Factores generales'!$M$41+J135*'Factores generales'!$N$41,I135*'Factores generales'!$M$41+J135*'Factores generales'!$N$41)</f>
        <v>349131.51528807433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Actividad'!$H132*'FE Sectorial'!$H135*'FE Sectorial'!I135*'FE Sectorial'!P135/1000</f>
        <v>243968.14971897256</v>
      </c>
      <c r="I136" s="17">
        <f>'Datos Actividad'!$H132*'FE Sectorial'!$H135*'FE Sectorial'!J135/1000/1000</f>
        <v>9.9770232576359792</v>
      </c>
      <c r="J136" s="17">
        <f>'Datos Actividad'!$H132*'FE Sectorial'!$H135*'FE Sectorial'!K135/1000/1000</f>
        <v>1.9954046515271957</v>
      </c>
      <c r="K136" s="17">
        <f>'Datos Actividad'!$H132*'FE Sectorial'!$H135*'FE Sectorial'!L135/1000/1000</f>
        <v>332.5674419211993</v>
      </c>
      <c r="L136" s="17">
        <f>'Datos Actividad'!$H132*'FE Sectorial'!$H135*'FE Sectorial'!M135/1000/1000</f>
        <v>66.513488384239849</v>
      </c>
      <c r="M136" s="17">
        <f>'Datos Actividad'!$H132*'FE Sectorial'!$H135*'FE Sectorial'!N135/1000/1000</f>
        <v>16.628372096059962</v>
      </c>
      <c r="N136" s="17">
        <f>'Datos Actividad'!$H132*'FE Sectorial'!$H135*'FE Sectorial'!O135/1000/1000</f>
        <v>120.65237427838858</v>
      </c>
      <c r="O136" s="87">
        <f>IF(D136&lt;400,H136+I136*'Factores generales'!$M$41+J136*'Factores generales'!$N$41,I136*'Factores generales'!$M$41+J136*'Factores generales'!$N$41)</f>
        <v>244796.24264935634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Actividad'!$H133*'FE Sectorial'!$H136*'FE Sectorial'!I136*'FE Sectorial'!P136/1000</f>
        <v>57825.251824494066</v>
      </c>
      <c r="I137" s="17">
        <f>'Datos Actividad'!$H133*'FE Sectorial'!$H136*'FE Sectorial'!J136/1000/1000</f>
        <v>2.2639281115219663</v>
      </c>
      <c r="J137" s="17">
        <f>'Datos Actividad'!$H133*'FE Sectorial'!$H136*'FE Sectorial'!K136/1000/1000</f>
        <v>0.45278562230439318</v>
      </c>
      <c r="K137" s="17">
        <f>'Datos Actividad'!$H133*'FE Sectorial'!$H136*'FE Sectorial'!L136/1000/1000</f>
        <v>75.464270384065543</v>
      </c>
      <c r="L137" s="17">
        <f>'Datos Actividad'!$H133*'FE Sectorial'!$H136*'FE Sectorial'!M136/1000/1000</f>
        <v>15.092854076813108</v>
      </c>
      <c r="M137" s="17">
        <f>'Datos Actividad'!$H133*'FE Sectorial'!$H136*'FE Sectorial'!N136/1000/1000</f>
        <v>3.773213519203277</v>
      </c>
      <c r="N137" s="17">
        <f>'Datos Actividad'!$H133*'FE Sectorial'!$H136*'FE Sectorial'!O136/1000/1000</f>
        <v>149.43419878032779</v>
      </c>
      <c r="O137" s="87">
        <f>IF(D137&lt;400,H137+I137*'Factores generales'!$M$41+J137*'Factores generales'!$N$41,I137*'Factores generales'!$M$41+J137*'Factores generales'!$N$41)</f>
        <v>58013.15785775039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22847526.038961515</v>
      </c>
      <c r="I138" s="134">
        <f>SUM(I139:I144)</f>
        <v>2811.1555469892583</v>
      </c>
      <c r="J138" s="134">
        <f t="shared" ref="J138:O138" si="43">SUM(J139:J144)</f>
        <v>110.57661512530288</v>
      </c>
      <c r="K138" s="134">
        <f t="shared" si="43"/>
        <v>61003.13930646774</v>
      </c>
      <c r="L138" s="134">
        <f t="shared" si="43"/>
        <v>120645.20810540835</v>
      </c>
      <c r="M138" s="134">
        <f t="shared" si="43"/>
        <v>5825.1374621767554</v>
      </c>
      <c r="N138" s="134">
        <f t="shared" si="43"/>
        <v>1981.2216541536868</v>
      </c>
      <c r="O138" s="134">
        <f t="shared" si="43"/>
        <v>22940839.056137133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Actividad'!$H135*'FE Sectorial'!$H138*'FE Sectorial'!I138*'FE Sectorial'!P138/1000</f>
        <v>437903.70451491605</v>
      </c>
      <c r="I139" s="17">
        <f>'Datos Actividad'!$H135*'FE Sectorial'!$H138*'FE Sectorial'!J138/1000/1000</f>
        <v>134.82256912405049</v>
      </c>
      <c r="J139" s="17">
        <f>'Datos Actividad'!$H135*'FE Sectorial'!$H138*'FE Sectorial'!K138/1000/1000</f>
        <v>17.976342549873401</v>
      </c>
      <c r="K139" s="17">
        <f>'Datos Actividad'!$H135*'FE Sectorial'!$H138*'FE Sectorial'!L138/1000/1000</f>
        <v>449.408563746835</v>
      </c>
      <c r="L139" s="17">
        <f>'Datos Actividad'!$H135*'FE Sectorial'!$H138*'FE Sectorial'!M138/1000/1000</f>
        <v>22470.428187341749</v>
      </c>
      <c r="M139" s="17">
        <f>'Datos Actividad'!$H135*'FE Sectorial'!$H138*'FE Sectorial'!N138/1000/1000</f>
        <v>2696.4513824810101</v>
      </c>
      <c r="N139" s="17">
        <f>'Datos Actividad'!$H135*'FE Sectorial'!$H138*'FE Sectorial'!O138/1000/1000</f>
        <v>1152.3296506329102</v>
      </c>
      <c r="O139" s="87">
        <f>IF(D139&lt;400,H139+I139*'Factores generales'!$M$41+J139*'Factores generales'!$N$41,I139*'Factores generales'!$M$41+J139*'Factores generales'!$N$41)</f>
        <v>8403.9401420658141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Actividad'!$H136*'FE Sectorial'!$H139*'FE Sectorial'!I139*'FE Sectorial'!P139/1000</f>
        <v>0</v>
      </c>
      <c r="I140" s="17">
        <f>'Datos Actividad'!$H136*'FE Sectorial'!$H139*'FE Sectorial'!J139/1000/1000</f>
        <v>0</v>
      </c>
      <c r="J140" s="17">
        <f>'Datos Actividad'!$H136*'FE Sectorial'!$H139*'FE Sectorial'!K139/1000/1000</f>
        <v>0</v>
      </c>
      <c r="K140" s="17">
        <f>'Datos Actividad'!$H136*'FE Sectorial'!$H139*'FE Sectorial'!L139/1000/1000</f>
        <v>0</v>
      </c>
      <c r="L140" s="17">
        <f>'Datos Actividad'!$H136*'FE Sectorial'!$H139*'FE Sectorial'!M139/1000/1000</f>
        <v>0</v>
      </c>
      <c r="M140" s="17">
        <f>'Datos Actividad'!$H136*'FE Sectorial'!$H139*'FE Sectorial'!N139/1000/1000</f>
        <v>0</v>
      </c>
      <c r="N140" s="17">
        <f>'Datos Actividad'!$H136*'FE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Actividad'!$H137*'FE Sectorial'!$H140*'FE Sectorial'!I140*'FE Sectorial'!P140/1000</f>
        <v>19684729.377206784</v>
      </c>
      <c r="I141" s="17">
        <f>'Datos Actividad'!$H137*'FE Sectorial'!$H140*'FE Sectorial'!J140/1000/1000</f>
        <v>352.64969011199997</v>
      </c>
      <c r="J141" s="17">
        <f>'Datos Actividad'!$H137*'FE Sectorial'!$H140*'FE Sectorial'!K140/1000/1000</f>
        <v>35.264969011200002</v>
      </c>
      <c r="K141" s="17">
        <f>'Datos Actividad'!$H137*'FE Sectorial'!$H140*'FE Sectorial'!L140/1000/1000</f>
        <v>52897.453516799993</v>
      </c>
      <c r="L141" s="17">
        <f>'Datos Actividad'!$H137*'FE Sectorial'!$H140*'FE Sectorial'!M140/1000/1000</f>
        <v>17632.484505599998</v>
      </c>
      <c r="M141" s="17">
        <f>'Datos Actividad'!$H137*'FE Sectorial'!$H140*'FE Sectorial'!N140/1000/1000</f>
        <v>1763.24845056</v>
      </c>
      <c r="N141" s="17">
        <f>'Datos Actividad'!$H137*'FE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19703067.161092609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Actividad'!$H138*'FE Sectorial'!$H141*'FE Sectorial'!I141*'FE Sectorial'!P141/1000</f>
        <v>2089837.9175117121</v>
      </c>
      <c r="I142" s="17">
        <f>'Datos Actividad'!$H138*'FE Sectorial'!$H141*'FE Sectorial'!J141/1000/1000</f>
        <v>33.453999864119993</v>
      </c>
      <c r="J142" s="17">
        <f>'Datos Actividad'!$H138*'FE Sectorial'!$H141*'FE Sectorial'!K141/1000/1000</f>
        <v>3.3453999864120001</v>
      </c>
      <c r="K142" s="17">
        <f>'Datos Actividad'!$H138*'FE Sectorial'!$H141*'FE Sectorial'!L141/1000/1000</f>
        <v>5018.0999796179985</v>
      </c>
      <c r="L142" s="17">
        <f>'Datos Actividad'!$H138*'FE Sectorial'!$H141*'FE Sectorial'!M141/1000/1000</f>
        <v>1672.699993206</v>
      </c>
      <c r="M142" s="17">
        <f>'Datos Actividad'!$H138*'FE Sectorial'!$H141*'FE Sectorial'!N141/1000/1000</f>
        <v>167.26999932059996</v>
      </c>
      <c r="N142" s="17">
        <f>'Datos Actividad'!$H138*'FE Sectorial'!$H141*'FE Sectorial'!O141/1000/1000</f>
        <v>141.45454488000001</v>
      </c>
      <c r="O142" s="87">
        <f>IF(D142&lt;400,H142+I142*'Factores generales'!$M$41+J142*'Factores generales'!$N$41,I142*'Factores generales'!$M$41+J142*'Factores generales'!$N$41)</f>
        <v>2091577.5255046461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Actividad'!$H139*'FE Sectorial'!$H142*'FE Sectorial'!I142*'FE Sectorial'!P142/1000</f>
        <v>1072958.7442430167</v>
      </c>
      <c r="I143" s="17">
        <f>'Datos Actividad'!$H139*'FE Sectorial'!$H142*'FE Sectorial'!J142/1000/1000</f>
        <v>45.473987889087383</v>
      </c>
      <c r="J143" s="17">
        <f>'Datos Actividad'!$H139*'FE Sectorial'!$H142*'FE Sectorial'!K142/1000/1000</f>
        <v>9.0947975778174754</v>
      </c>
      <c r="K143" s="17">
        <f>'Datos Actividad'!$H139*'FE Sectorial'!$H142*'FE Sectorial'!L142/1000/1000</f>
        <v>1515.7995963029125</v>
      </c>
      <c r="L143" s="17">
        <f>'Datos Actividad'!$H139*'FE Sectorial'!$H142*'FE Sectorial'!M142/1000/1000</f>
        <v>303.15991926058246</v>
      </c>
      <c r="M143" s="17">
        <f>'Datos Actividad'!$H139*'FE Sectorial'!$H142*'FE Sectorial'!N142/1000/1000</f>
        <v>75.789979815145614</v>
      </c>
      <c r="N143" s="17">
        <f>'Datos Actividad'!$H139*'FE Sectorial'!$H142*'FE Sectorial'!O142/1000/1000</f>
        <v>687.43745864077664</v>
      </c>
      <c r="O143" s="87">
        <f>IF(D143&lt;400,H143+I143*'Factores generales'!$M$41+J143*'Factores generales'!$N$41,I143*'Factores generales'!$M$41+J143*'Factores generales'!$N$41)</f>
        <v>1076733.0852378109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Actividad'!$H140*'FE Sectorial'!$H143*'FE Sectorial'!I143*'FE Sectorial'!P143/1000</f>
        <v>1093644.7821600002</v>
      </c>
      <c r="I144" s="17">
        <f>'Datos Actividad'!$H140*'FE Sectorial'!$H143*'FE Sectorial'!J143/1000/1000</f>
        <v>2244.7553000000003</v>
      </c>
      <c r="J144" s="17">
        <f>'Datos Actividad'!$H140*'FE Sectorial'!$H143*'FE Sectorial'!K143/1000/1000</f>
        <v>44.895106000000006</v>
      </c>
      <c r="K144" s="17">
        <f>'Datos Actividad'!$H140*'FE Sectorial'!$H143*'FE Sectorial'!L143/1000/1000</f>
        <v>1122.3776500000001</v>
      </c>
      <c r="L144" s="17">
        <f>'Datos Actividad'!$H140*'FE Sectorial'!$H143*'FE Sectorial'!M143/1000/1000</f>
        <v>78566.435500000021</v>
      </c>
      <c r="M144" s="17">
        <f>'Datos Actividad'!$H140*'FE Sectorial'!$H143*'FE Sectorial'!N143/1000/1000</f>
        <v>1122.3776500000001</v>
      </c>
      <c r="N144" s="17">
        <f>'Datos Actividad'!$H140*'FE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61057.344160000008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8800213.2091497276</v>
      </c>
      <c r="I145" s="134">
        <f t="shared" ref="I145:O145" si="44">SUM(I146:I149)</f>
        <v>356.4633351023586</v>
      </c>
      <c r="J145" s="134">
        <f t="shared" si="44"/>
        <v>71.069640354710913</v>
      </c>
      <c r="K145" s="134">
        <f t="shared" si="44"/>
        <v>142027.76737654148</v>
      </c>
      <c r="L145" s="134">
        <f t="shared" si="44"/>
        <v>118189.20281446395</v>
      </c>
      <c r="M145" s="134">
        <f t="shared" si="44"/>
        <v>23626.689229604752</v>
      </c>
      <c r="N145" s="134">
        <f t="shared" si="44"/>
        <v>4488.9665741324106</v>
      </c>
      <c r="O145" s="134">
        <f t="shared" si="44"/>
        <v>8829730.5276968367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Actividad'!$H142*'FE Sectorial'!$H145*'FE Sectorial'!I145*'FE Sectorial'!P145/1000</f>
        <v>139322.52783411412</v>
      </c>
      <c r="I146" s="17">
        <f>'Datos Actividad'!$H142*'FE Sectorial'!$H145*'FE Sectorial'!J145/1000/1000</f>
        <v>2.2302666576079995</v>
      </c>
      <c r="J146" s="17">
        <f>'Datos Actividad'!$H142*'FE Sectorial'!$H145*'FE Sectorial'!K145/1000/1000</f>
        <v>0.22302666576079996</v>
      </c>
      <c r="K146" s="17">
        <f>'Datos Actividad'!$H142*'FE Sectorial'!$H145*'FE Sectorial'!L145/1000/1000</f>
        <v>334.53999864119993</v>
      </c>
      <c r="L146" s="17">
        <f>'Datos Actividad'!$H142*'FE Sectorial'!$H145*'FE Sectorial'!M145/1000/1000</f>
        <v>111.51333288039999</v>
      </c>
      <c r="M146" s="17">
        <f>'Datos Actividad'!$H142*'FE Sectorial'!$H145*'FE Sectorial'!N145/1000/1000</f>
        <v>11.151333288039998</v>
      </c>
      <c r="N146" s="17">
        <f>'Datos Actividad'!$H142*'FE Sectorial'!$H145*'FE Sectorial'!O145/1000/1000</f>
        <v>9.4303029920000014</v>
      </c>
      <c r="O146" s="87">
        <f>IF(D146&lt;400,H146+I146*'Factores generales'!$M$41+J146*'Factores generales'!$N$41,I146*'Factores generales'!$M$41+J146*'Factores generales'!$N$41)</f>
        <v>139438.50170030975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Actividad'!$H143*'FE Sectorial'!$H146*'FE Sectorial'!I146*'FE Sectorial'!P146/1000</f>
        <v>85546.165399731864</v>
      </c>
      <c r="I147" s="17">
        <f>'Datos Actividad'!$H143*'FE Sectorial'!$H146*'FE Sectorial'!J146/1000/1000</f>
        <v>3.7407042459107034</v>
      </c>
      <c r="J147" s="17">
        <f>'Datos Actividad'!$H143*'FE Sectorial'!$H146*'FE Sectorial'!K146/1000/1000</f>
        <v>0.74814084918214052</v>
      </c>
      <c r="K147" s="17">
        <f>'Datos Actividad'!$H143*'FE Sectorial'!$H146*'FE Sectorial'!L146/1000/1000</f>
        <v>1496.2816983642811</v>
      </c>
      <c r="L147" s="17">
        <f>'Datos Actividad'!$H143*'FE Sectorial'!$H146*'FE Sectorial'!M146/1000/1000</f>
        <v>1246.9014153035675</v>
      </c>
      <c r="M147" s="17">
        <f>'Datos Actividad'!$H143*'FE Sectorial'!$H146*'FE Sectorial'!N146/1000/1000</f>
        <v>249.38028306071354</v>
      </c>
      <c r="N147" s="17">
        <f>'Datos Actividad'!$H143*'FE Sectorial'!$H146*'FE Sectorial'!O146/1000/1000</f>
        <v>5.629351762092857</v>
      </c>
      <c r="O147" s="87">
        <f>IF(D147&lt;400,H147+I147*'Factores generales'!$M$41+J147*'Factores generales'!$N$41,I147*'Factores generales'!$M$41+J147*'Factores generales'!$N$41)</f>
        <v>85856.643852142442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Actividad'!$H144*'FE Sectorial'!$H147*'FE Sectorial'!I147*'FE Sectorial'!P147/1000</f>
        <v>8463824.3873972148</v>
      </c>
      <c r="I148" s="17">
        <f>'Datos Actividad'!$H144*'FE Sectorial'!$H147*'FE Sectorial'!J147/1000/1000</f>
        <v>346.12621712661894</v>
      </c>
      <c r="J148" s="17">
        <f>'Datos Actividad'!$H144*'FE Sectorial'!$H147*'FE Sectorial'!K147/1000/1000</f>
        <v>69.225243425323796</v>
      </c>
      <c r="K148" s="17">
        <f>'Datos Actividad'!$H144*'FE Sectorial'!$H147*'FE Sectorial'!L147/1000/1000</f>
        <v>138450.48685064763</v>
      </c>
      <c r="L148" s="17">
        <f>'Datos Actividad'!$H144*'FE Sectorial'!$H147*'FE Sectorial'!M147/1000/1000</f>
        <v>115375.405708873</v>
      </c>
      <c r="M148" s="17">
        <f>'Datos Actividad'!$H144*'FE Sectorial'!$H147*'FE Sectorial'!N147/1000/1000</f>
        <v>23075.081141774601</v>
      </c>
      <c r="N148" s="17">
        <f>'Datos Actividad'!$H144*'FE Sectorial'!$H147*'FE Sectorial'!O147/1000/1000</f>
        <v>4185.7123931591141</v>
      </c>
      <c r="O148" s="87">
        <f>IF(D148&lt;400,H148+I148*'Factores generales'!$M$41+J148*'Factores generales'!$N$41,I148*'Factores generales'!$M$41+J148*'Factores generales'!$N$41)</f>
        <v>8492552.8634187225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Actividad'!$H145*'FE Sectorial'!$H148*'FE Sectorial'!I148*'FE Sectorial'!P148/1000</f>
        <v>111520.1285186671</v>
      </c>
      <c r="I149" s="17">
        <f>'Datos Actividad'!$H145*'FE Sectorial'!$H148*'FE Sectorial'!J148/1000/1000</f>
        <v>4.3661470722209339</v>
      </c>
      <c r="J149" s="17">
        <f>'Datos Actividad'!$H145*'FE Sectorial'!$H148*'FE Sectorial'!K148/1000/1000</f>
        <v>0.87322941444418689</v>
      </c>
      <c r="K149" s="17">
        <f>'Datos Actividad'!$H145*'FE Sectorial'!$H148*'FE Sectorial'!L148/1000/1000</f>
        <v>1746.4588288883738</v>
      </c>
      <c r="L149" s="17">
        <f>'Datos Actividad'!$H145*'FE Sectorial'!$H148*'FE Sectorial'!M148/1000/1000</f>
        <v>1455.3823574069779</v>
      </c>
      <c r="M149" s="17">
        <f>'Datos Actividad'!$H145*'FE Sectorial'!$H148*'FE Sectorial'!N148/1000/1000</f>
        <v>291.07647148139557</v>
      </c>
      <c r="N149" s="17">
        <f>'Datos Actividad'!$H145*'FE Sectorial'!$H148*'FE Sectorial'!O148/1000/1000</f>
        <v>288.19452621920362</v>
      </c>
      <c r="O149" s="87">
        <f>IF(D149&lt;400,H149+I149*'Factores generales'!$M$41+J149*'Factores generales'!$N$41,I149*'Factores generales'!$M$41+J149*'Factores generales'!$N$41)</f>
        <v>111882.51872566143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5">I151+I152</f>
        <v>0</v>
      </c>
      <c r="J150" s="129">
        <f t="shared" si="45"/>
        <v>0</v>
      </c>
      <c r="K150" s="129">
        <f t="shared" si="45"/>
        <v>0</v>
      </c>
      <c r="L150" s="129">
        <f t="shared" si="45"/>
        <v>0</v>
      </c>
      <c r="M150" s="129">
        <f t="shared" si="45"/>
        <v>0</v>
      </c>
      <c r="N150" s="129">
        <f t="shared" si="45"/>
        <v>0</v>
      </c>
      <c r="O150" s="129">
        <f t="shared" si="45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Actividad'!$H147*'FE Sectorial'!$H150*'FE Sectorial'!I150*'FE Sectorial'!P150/1000</f>
        <v>0</v>
      </c>
      <c r="I151" s="134">
        <f>'Datos Actividad'!$H147*'FE Sectorial'!$H150*'FE Sectorial'!J150/1000/1000</f>
        <v>0</v>
      </c>
      <c r="J151" s="134">
        <f>'Datos Actividad'!$H147*'FE Sectorial'!$H150*'FE Sectorial'!K150/1000/1000</f>
        <v>0</v>
      </c>
      <c r="K151" s="134">
        <f>'Datos Actividad'!$H147*'FE Sectorial'!$H150*'FE Sectorial'!L150/1000/1000</f>
        <v>0</v>
      </c>
      <c r="L151" s="134">
        <f>'Datos Actividad'!$H147*'FE Sectorial'!$H150*'FE Sectorial'!M150/1000/1000</f>
        <v>0</v>
      </c>
      <c r="M151" s="134">
        <f>'Datos Actividad'!$H147*'FE Sectorial'!$H150*'FE Sectorial'!N150/1000/1000</f>
        <v>0</v>
      </c>
      <c r="N151" s="134">
        <f>'Datos Actividad'!$H147*'FE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Actividad'!$H148*'FE Sectorial'!$H151*'FE Sectorial'!I151*'FE Sectorial'!P151/1000</f>
        <v>0</v>
      </c>
      <c r="I152" s="134">
        <f>'Datos Actividad'!$H148*'FE Sectorial'!$H151*'FE Sectorial'!J151/1000/1000</f>
        <v>0</v>
      </c>
      <c r="J152" s="134">
        <f>'Datos Actividad'!$H148*'FE Sectorial'!$H151*'FE Sectorial'!K151/1000/1000</f>
        <v>0</v>
      </c>
      <c r="K152" s="134">
        <f>'Datos Actividad'!$H148*'FE Sectorial'!$H151*'FE Sectorial'!L151/1000/1000</f>
        <v>0</v>
      </c>
      <c r="L152" s="134">
        <f>'Datos Actividad'!$H148*'FE Sectorial'!$H151*'FE Sectorial'!M151/1000/1000</f>
        <v>0</v>
      </c>
      <c r="M152" s="134">
        <f>'Datos Actividad'!$H148*'FE Sectorial'!$H151*'FE Sectorial'!N151/1000/1000</f>
        <v>0</v>
      </c>
      <c r="N152" s="134">
        <f>'Datos Actividad'!$H148*'FE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4675499.067717921</v>
      </c>
      <c r="I153" s="124">
        <f t="shared" ref="I153:N153" si="46">I154+I168</f>
        <v>357506.30824547639</v>
      </c>
      <c r="J153" s="124">
        <f t="shared" si="46"/>
        <v>28.166636841956784</v>
      </c>
      <c r="K153" s="124">
        <f t="shared" si="46"/>
        <v>1495.1901083485529</v>
      </c>
      <c r="L153" s="124">
        <f t="shared" si="46"/>
        <v>2392.2964464800002</v>
      </c>
      <c r="M153" s="124">
        <f t="shared" si="46"/>
        <v>115248.73203080607</v>
      </c>
      <c r="N153" s="124">
        <f t="shared" si="46"/>
        <v>23922.964464800003</v>
      </c>
      <c r="O153" s="124">
        <f>IF(D153&lt;400,H153+I153*'Factores generales'!$M$41+J153*'Factores generales'!$N$41,I153*'Factores generales'!$M$41+J153*'Factores generales'!$N$41)</f>
        <v>12191863.19829393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7">I155+I166+I167</f>
        <v>2711.5913803590652</v>
      </c>
      <c r="J154" s="129">
        <f t="shared" si="47"/>
        <v>0</v>
      </c>
      <c r="K154" s="129">
        <f t="shared" si="47"/>
        <v>0</v>
      </c>
      <c r="L154" s="129">
        <f t="shared" si="47"/>
        <v>0</v>
      </c>
      <c r="M154" s="129">
        <f t="shared" si="47"/>
        <v>0</v>
      </c>
      <c r="N154" s="129">
        <f t="shared" si="47"/>
        <v>0</v>
      </c>
      <c r="O154" s="129">
        <f t="shared" si="47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8">SUM(I156:I165)</f>
        <v>2711.5913803590652</v>
      </c>
      <c r="J155" s="134">
        <f t="shared" si="48"/>
        <v>0</v>
      </c>
      <c r="K155" s="134">
        <f t="shared" si="48"/>
        <v>0</v>
      </c>
      <c r="L155" s="134">
        <f t="shared" si="48"/>
        <v>0</v>
      </c>
      <c r="M155" s="134">
        <f t="shared" si="48"/>
        <v>0</v>
      </c>
      <c r="N155" s="134">
        <f t="shared" si="48"/>
        <v>0</v>
      </c>
      <c r="O155" s="134">
        <f t="shared" si="48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4675499.067717921</v>
      </c>
      <c r="I168" s="129">
        <f t="shared" ref="I168:O168" si="49">I169+I188+I204</f>
        <v>354794.71686511731</v>
      </c>
      <c r="J168" s="129">
        <f t="shared" si="49"/>
        <v>28.166636841956784</v>
      </c>
      <c r="K168" s="129">
        <f t="shared" si="49"/>
        <v>1495.1901083485529</v>
      </c>
      <c r="L168" s="129">
        <f t="shared" si="49"/>
        <v>2392.2964464800002</v>
      </c>
      <c r="M168" s="129">
        <f t="shared" si="49"/>
        <v>115248.73203080607</v>
      </c>
      <c r="N168" s="129">
        <f t="shared" si="49"/>
        <v>23922.964464800003</v>
      </c>
      <c r="O168" s="129">
        <f t="shared" si="49"/>
        <v>12134919.779306389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39508.285631072395</v>
      </c>
      <c r="I169" s="134">
        <f t="shared" ref="I169:O169" si="50">SUM(I170:I187)</f>
        <v>11743.764800026143</v>
      </c>
      <c r="J169" s="134">
        <f t="shared" si="50"/>
        <v>0.27841881258277068</v>
      </c>
      <c r="K169" s="134">
        <f t="shared" si="50"/>
        <v>1495.1901083485529</v>
      </c>
      <c r="L169" s="134">
        <f t="shared" si="50"/>
        <v>2392.2964464800002</v>
      </c>
      <c r="M169" s="134">
        <f t="shared" si="50"/>
        <v>71277.881408952424</v>
      </c>
      <c r="N169" s="134">
        <f t="shared" si="50"/>
        <v>23922.964464800003</v>
      </c>
      <c r="O169" s="134">
        <f t="shared" si="50"/>
        <v>286213.65626352205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Actividad'!$H167*'FE Sectorial'!I170*1000</f>
        <v>1709.472890430123</v>
      </c>
      <c r="I171" s="92">
        <f>'Datos Actividad'!$H167*'FE Sectorial'!J170*1000</f>
        <v>36.299506250877904</v>
      </c>
      <c r="J171" s="92">
        <f>'Datos Actividad'!$H167*'FE Sectorial'!K170*1000</f>
        <v>1.2580810784683157E-2</v>
      </c>
      <c r="K171" s="92">
        <f>'Datos Actividad'!$H167*'FE Sectorial'!L170*1000</f>
        <v>0</v>
      </c>
      <c r="L171" s="92">
        <f>'Datos Actividad'!$H167*'FE Sectorial'!M170*1000</f>
        <v>0</v>
      </c>
      <c r="M171" s="92">
        <f>'Datos Actividad'!$H167*'FE Sectorial'!N170*1000</f>
        <v>5.5933712177093611</v>
      </c>
      <c r="N171" s="92">
        <f>'Datos Actividad'!$H167*'FE Sectorial'!O170*1000</f>
        <v>0</v>
      </c>
      <c r="O171" s="87">
        <f>IF(D171&lt;400,H171+I171*'Factores generales'!$M$41+J171*'Factores generales'!$N$41,I171*'Factores generales'!$M$41+J171*'Factores generales'!$N$41)</f>
        <v>2475.6625730418104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Actividad'!$H168*'FE Sectorial'!I171*1000</f>
        <v>2043.9349776881907</v>
      </c>
      <c r="I172" s="92">
        <f>'Datos Actividad'!$H168*'FE Sectorial'!J171*1000</f>
        <v>43.401583560832279</v>
      </c>
      <c r="J172" s="92">
        <f>'Datos Actividad'!$H168*'FE Sectorial'!K171*1000</f>
        <v>1.5042273764295077E-2</v>
      </c>
      <c r="K172" s="92">
        <f>'Datos Actividad'!$H168*'FE Sectorial'!L171*1000</f>
        <v>0</v>
      </c>
      <c r="L172" s="92">
        <f>'Datos Actividad'!$H168*'FE Sectorial'!M171*1000</f>
        <v>0</v>
      </c>
      <c r="M172" s="92">
        <f>'Datos Actividad'!$H168*'FE Sectorial'!N171*1000</f>
        <v>6.6877264559568443</v>
      </c>
      <c r="N172" s="92">
        <f>'Datos Actividad'!$H168*'FE Sectorial'!O171*1000</f>
        <v>0</v>
      </c>
      <c r="O172" s="87">
        <f>IF(D172&lt;400,H172+I172*'Factores generales'!$M$41+J172*'Factores generales'!$N$41,I172*'Factores generales'!$M$41+J172*'Factores generales'!$N$41)</f>
        <v>2960.0313373325998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Actividad'!$H169*'FE Sectorial'!I172*1000</f>
        <v>34077.970446183106</v>
      </c>
      <c r="I173" s="92">
        <f>'Datos Actividad'!$H169*'FE Sectorial'!J172*1000</f>
        <v>723.62276591424006</v>
      </c>
      <c r="J173" s="92">
        <f>'Datos Actividad'!$H169*'FE Sectorial'!K172*1000</f>
        <v>0.25079572803379246</v>
      </c>
      <c r="K173" s="92">
        <f>'Datos Actividad'!$H169*'FE Sectorial'!L172*1000</f>
        <v>0</v>
      </c>
      <c r="L173" s="92">
        <f>'Datos Actividad'!$H169*'FE Sectorial'!M172*1000</f>
        <v>0</v>
      </c>
      <c r="M173" s="92">
        <f>'Datos Actividad'!$H169*'FE Sectorial'!N172*1000</f>
        <v>111.50263927477137</v>
      </c>
      <c r="N173" s="92">
        <f>'Datos Actividad'!$H169*'FE Sectorial'!O172*1000</f>
        <v>0</v>
      </c>
      <c r="O173" s="87">
        <f>IF(D173&lt;400,H173+I173*'Factores generales'!$M$41+J173*'Factores generales'!$N$41,I173*'Factores generales'!$M$41+J173*'Factores generales'!$N$41)</f>
        <v>49351.795206072624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Actividad'!$H171*'FE Sectorial'!I174</f>
        <v>724.79867644984381</v>
      </c>
      <c r="I175" s="92">
        <f>'Datos Actividad'!$H171*'FE Sectorial'!J174</f>
        <v>9997.8835947000007</v>
      </c>
      <c r="J175" s="92">
        <f>'Datos Actividad'!$H171*'FE Sectorial'!K174</f>
        <v>0</v>
      </c>
      <c r="K175" s="92">
        <f>'Datos Actividad'!$H171*'FE Sectorial'!L174</f>
        <v>0</v>
      </c>
      <c r="L175" s="92">
        <f>'Datos Actividad'!$H171*'FE Sectorial'!M174</f>
        <v>0</v>
      </c>
      <c r="M175" s="92">
        <f>'Datos Actividad'!$H171*'FE Sectorial'!N174</f>
        <v>12244.856657378932</v>
      </c>
      <c r="N175" s="92">
        <f>'Datos Actividad'!$H171*'FE Sectorial'!O174</f>
        <v>0</v>
      </c>
      <c r="O175" s="87">
        <f>IF(D175&lt;400,H175+I175*'Factores generales'!$M$41+J175*'Factores generales'!$N$41,I175*'Factores generales'!$M$41+J175*'Factores generales'!$N$41)</f>
        <v>210680.35416514985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Actividad'!$H173*'FE Sectorial'!I176</f>
        <v>0</v>
      </c>
      <c r="I177" s="92">
        <f>'Datos Actividad'!$H173*'FE Sectorial'!J176</f>
        <v>462.71380635116822</v>
      </c>
      <c r="J177" s="92">
        <f>'Datos Actividad'!$H173*'FE Sectorial'!K176</f>
        <v>0</v>
      </c>
      <c r="K177" s="92">
        <f>'Datos Actividad'!$H173*'FE Sectorial'!L176</f>
        <v>0</v>
      </c>
      <c r="L177" s="92">
        <f>'Datos Actividad'!$H173*'FE Sectorial'!M176</f>
        <v>0</v>
      </c>
      <c r="M177" s="92">
        <f>'Datos Actividad'!$H173*'FE Sectorial'!N176</f>
        <v>0</v>
      </c>
      <c r="N177" s="92">
        <f>'Datos Actividad'!$H173*'FE Sectorial'!O176</f>
        <v>0</v>
      </c>
      <c r="O177" s="87">
        <f>IF(D177&lt;400,H177+I177*'Factores generales'!$M$41+J177*'Factores generales'!$N$41,I177*'Factores generales'!$M$41+J177*'Factores generales'!$N$41)</f>
        <v>9716.9899333745325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Actividad'!$H174*'FE Sectorial'!I177</f>
        <v>8.2002868388210004</v>
      </c>
      <c r="I178" s="92">
        <f>'Datos Actividad'!$H174*'FE Sectorial'!J177</f>
        <v>90.370508019660008</v>
      </c>
      <c r="J178" s="92">
        <f>'Datos Actividad'!$H174*'FE Sectorial'!K177</f>
        <v>0</v>
      </c>
      <c r="K178" s="92">
        <f>'Datos Actividad'!$H174*'FE Sectorial'!L177</f>
        <v>0</v>
      </c>
      <c r="L178" s="92">
        <f>'Datos Actividad'!$H174*'FE Sectorial'!M177</f>
        <v>0</v>
      </c>
      <c r="M178" s="92">
        <f>'Datos Actividad'!$H174*'FE Sectorial'!N177</f>
        <v>903.70508019660019</v>
      </c>
      <c r="N178" s="92">
        <f>'Datos Actividad'!$H174*'FE Sectorial'!O177</f>
        <v>0</v>
      </c>
      <c r="O178" s="87">
        <f>IF(D178&lt;400,H178+I178*'Factores generales'!$M$41+J178*'Factores generales'!$N$41,I178*'Factores generales'!$M$41+J178*'Factores generales'!$N$41)</f>
        <v>1905.9809552516813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Actividad'!$H177*'FE Sectorial'!I180</f>
        <v>0</v>
      </c>
      <c r="I181" s="92">
        <f>'Datos Actividad'!$H177*'FE Sectorial'!J180</f>
        <v>308.74761433385828</v>
      </c>
      <c r="J181" s="92">
        <f>'Datos Actividad'!$H177*'FE Sectorial'!K180</f>
        <v>0</v>
      </c>
      <c r="K181" s="92">
        <f>'Datos Actividad'!$H177*'FE Sectorial'!L180</f>
        <v>1495.1852790500002</v>
      </c>
      <c r="L181" s="92">
        <f>'Datos Actividad'!$H177*'FE Sectorial'!M180</f>
        <v>2392.2964464800002</v>
      </c>
      <c r="M181" s="92">
        <f>'Datos Actividad'!$H177*'FE Sectorial'!N180</f>
        <v>38874.817255299997</v>
      </c>
      <c r="N181" s="92">
        <f>'Datos Actividad'!$H177*'FE Sectorial'!O180</f>
        <v>23922.964464800003</v>
      </c>
      <c r="O181" s="87">
        <f>IF(D181&lt;400,H181+I181*'Factores generales'!$M$41+J181*'Factores generales'!$N$41,I181*'Factores generales'!$M$41+J181*'Factores generales'!$N$41)</f>
        <v>6483.6999010110239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Actividad'!$H179*'FE Sectorial'!I182</f>
        <v>0</v>
      </c>
      <c r="I183" s="92">
        <f>'Datos Actividad'!$H179*'FE Sectorial'!J182</f>
        <v>80.725420895505351</v>
      </c>
      <c r="J183" s="92">
        <f>'Datos Actividad'!$H179*'FE Sectorial'!K182</f>
        <v>0</v>
      </c>
      <c r="K183" s="92">
        <f>'Datos Actividad'!$H179*'FE Sectorial'!L182</f>
        <v>0</v>
      </c>
      <c r="L183" s="92">
        <f>'Datos Actividad'!$H179*'FE Sectorial'!M182</f>
        <v>0</v>
      </c>
      <c r="M183" s="92">
        <f>'Datos Actividad'!$H179*'FE Sectorial'!N182</f>
        <v>0</v>
      </c>
      <c r="N183" s="92">
        <f>'Datos Actividad'!$H179*'FE Sectorial'!O182</f>
        <v>0</v>
      </c>
      <c r="O183" s="87">
        <f>IF(D183&lt;400,H183+I183*'Factores generales'!$M$41+J183*'Factores generales'!$N$41,I183*'Factores generales'!$M$41+J183*'Factores generales'!$N$41)</f>
        <v>1695.2338388056123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Actividad'!$H181*'FE Sectorial'!I184</f>
        <v>0</v>
      </c>
      <c r="I185" s="92">
        <f>'Datos Actividad'!$H181*'FE Sectorial'!J184</f>
        <v>0</v>
      </c>
      <c r="J185" s="92">
        <f>'Datos Actividad'!$H181*'FE Sectorial'!K184</f>
        <v>0</v>
      </c>
      <c r="K185" s="92">
        <f>'Datos Actividad'!$H181*'FE Sectorial'!L184</f>
        <v>0</v>
      </c>
      <c r="L185" s="92">
        <f>'Datos Actividad'!$H181*'FE Sectorial'!M184</f>
        <v>0</v>
      </c>
      <c r="M185" s="92">
        <f>'Datos Actividad'!$H181*'FE Sectorial'!N184</f>
        <v>19130.718679128466</v>
      </c>
      <c r="N185" s="92">
        <f>'Datos Actividad'!$H181*'FE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Actividad'!$H182*'FE Sectorial'!I185</f>
        <v>943.90835348230894</v>
      </c>
      <c r="I186" s="92">
        <f>'Datos Actividad'!$H182*'FE Sectorial'!J185</f>
        <v>0</v>
      </c>
      <c r="J186" s="92">
        <f>'Datos Actividad'!$H182*'FE Sectorial'!K185</f>
        <v>0</v>
      </c>
      <c r="K186" s="92">
        <f>'Datos Actividad'!$H182*'FE Sectorial'!L185</f>
        <v>4.8292985527001861E-3</v>
      </c>
      <c r="L186" s="92">
        <f>'Datos Actividad'!$H182*'FE Sectorial'!M185</f>
        <v>0</v>
      </c>
      <c r="M186" s="92">
        <f>'Datos Actividad'!$H182*'FE Sectorial'!N185</f>
        <v>0</v>
      </c>
      <c r="N186" s="92">
        <f>'Datos Actividad'!$H182*'FE Sectorial'!O185</f>
        <v>0</v>
      </c>
      <c r="O186" s="87">
        <f>IF(D186&lt;400,H186+I186*'Factores generales'!$M$41+J186*'Factores generales'!$N$41,I186*'Factores generales'!$M$41+J186*'Factores generales'!$N$41)</f>
        <v>943.90835348230894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5938.9379102502335</v>
      </c>
      <c r="I188" s="134">
        <f t="shared" ref="I188:O188" si="51">SUM(I189:I203)</f>
        <v>306076.9298316834</v>
      </c>
      <c r="J188" s="134">
        <f t="shared" si="51"/>
        <v>0</v>
      </c>
      <c r="K188" s="134">
        <f t="shared" si="51"/>
        <v>0</v>
      </c>
      <c r="L188" s="134">
        <f t="shared" si="51"/>
        <v>0</v>
      </c>
      <c r="M188" s="134">
        <f t="shared" si="51"/>
        <v>25939.693382086039</v>
      </c>
      <c r="N188" s="134">
        <f t="shared" si="51"/>
        <v>0</v>
      </c>
      <c r="O188" s="134">
        <f t="shared" si="51"/>
        <v>6433554.4643756012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Actividad'!$H187*'FE Sectorial'!I190</f>
        <v>2285.4650530087465</v>
      </c>
      <c r="I191" s="92">
        <f>'Datos Actividad'!$H187*'FE Sectorial'!J190</f>
        <v>137490.19681899482</v>
      </c>
      <c r="J191" s="92">
        <f>'Datos Actividad'!$H187*'FE Sectorial'!K190</f>
        <v>0</v>
      </c>
      <c r="K191" s="92">
        <f>'Datos Actividad'!$H187*'FE Sectorial'!L190</f>
        <v>0</v>
      </c>
      <c r="L191" s="92">
        <f>'Datos Actividad'!$H187*'FE Sectorial'!M190</f>
        <v>0</v>
      </c>
      <c r="M191" s="92">
        <f>'Datos Actividad'!$H187*'FE Sectorial'!N190</f>
        <v>15044.772803293456</v>
      </c>
      <c r="N191" s="92">
        <f>'Datos Actividad'!$H187*'FE Sectorial'!O190</f>
        <v>0</v>
      </c>
      <c r="O191" s="87">
        <f>IF(D191&lt;400,H191+I191*'Factores generales'!$M$41+J191*'Factores generales'!$N$41,I191*'Factores generales'!$M$41+J191*'Factores generales'!$N$41)</f>
        <v>2889579.5982519002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Actividad'!$H189*'FE Sectorial'!I192</f>
        <v>834.533842615087</v>
      </c>
      <c r="I193" s="92">
        <f>'Datos Actividad'!$H189*'FE Sectorial'!J192</f>
        <v>10431.67303268859</v>
      </c>
      <c r="J193" s="92">
        <f>'Datos Actividad'!$H189*'FE Sectorial'!K192</f>
        <v>0</v>
      </c>
      <c r="K193" s="92">
        <f>'Datos Actividad'!$H189*'FE Sectorial'!L192</f>
        <v>0</v>
      </c>
      <c r="L193" s="92">
        <f>'Datos Actividad'!$H189*'FE Sectorial'!M192</f>
        <v>0</v>
      </c>
      <c r="M193" s="92">
        <f>'Datos Actividad'!$H189*'FE Sectorial'!N192</f>
        <v>9636.3667736334664</v>
      </c>
      <c r="N193" s="92">
        <f>'Datos Actividad'!$H189*'FE Sectorial'!O192</f>
        <v>0</v>
      </c>
      <c r="O193" s="87">
        <f>IF(D193&lt;400,H193+I193*'Factores generales'!$M$41+J193*'Factores generales'!$N$41,I193*'Factores generales'!$M$41+J193*'Factores generales'!$N$41)</f>
        <v>219899.66752907546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Actividad'!$H192*'FE Sectorial'!I195</f>
        <v>63.980932763073241</v>
      </c>
      <c r="I196" s="92">
        <f>'Datos Actividad'!$H192*'FE Sectorial'!J195</f>
        <v>19907.184594878432</v>
      </c>
      <c r="J196" s="92">
        <f>'Datos Actividad'!$H192*'FE Sectorial'!K195</f>
        <v>0</v>
      </c>
      <c r="K196" s="92">
        <f>'Datos Actividad'!$H192*'FE Sectorial'!L195</f>
        <v>0</v>
      </c>
      <c r="L196" s="92">
        <f>'Datos Actividad'!$H192*'FE Sectorial'!M195</f>
        <v>0</v>
      </c>
      <c r="M196" s="92">
        <f>'Datos Actividad'!$H192*'FE Sectorial'!N195</f>
        <v>476.06680515911654</v>
      </c>
      <c r="N196" s="92">
        <f>'Datos Actividad'!$H192*'FE Sectorial'!O195</f>
        <v>0</v>
      </c>
      <c r="O196" s="87">
        <f>IF(D196&lt;400,H196+I196*'Factores generales'!$M$41+J196*'Factores generales'!$N$41,I196*'Factores generales'!$M$41+J196*'Factores generales'!$N$41)</f>
        <v>418114.85742521018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Actividad'!$H194*'FE Sectorial'!I197</f>
        <v>2754.9580818633272</v>
      </c>
      <c r="I198" s="92">
        <f>'Datos Actividad'!$H194*'FE Sectorial'!J197</f>
        <v>54066.99546522554</v>
      </c>
      <c r="J198" s="92">
        <f>'Datos Actividad'!$H194*'FE Sectorial'!K197</f>
        <v>0</v>
      </c>
      <c r="K198" s="92">
        <f>'Datos Actividad'!$H194*'FE Sectorial'!L197</f>
        <v>0</v>
      </c>
      <c r="L198" s="92">
        <f>'Datos Actividad'!$H194*'FE Sectorial'!M197</f>
        <v>0</v>
      </c>
      <c r="M198" s="92">
        <f>'Datos Actividad'!$H194*'FE Sectorial'!N197</f>
        <v>782.48700000000008</v>
      </c>
      <c r="N198" s="92">
        <f>'Datos Actividad'!$H194*'FE Sectorial'!O197</f>
        <v>0</v>
      </c>
      <c r="O198" s="87">
        <f>IF(D198&lt;400,H198+I198*'Factores generales'!$M$41+J198*'Factores generales'!$N$41,I198*'Factores generales'!$M$41+J198*'Factores generales'!$N$41)</f>
        <v>1138161.8628515997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Actividad'!$H197*'FE Sectorial'!I200</f>
        <v>0</v>
      </c>
      <c r="I201" s="92">
        <f>'Datos Actividad'!$H197*'FE Sectorial'!J200</f>
        <v>66317.667750599998</v>
      </c>
      <c r="J201" s="92">
        <f>'Datos Actividad'!$H197*'FE Sectorial'!K200</f>
        <v>0</v>
      </c>
      <c r="K201" s="92">
        <f>'Datos Actividad'!$H197*'FE Sectorial'!L200</f>
        <v>0</v>
      </c>
      <c r="L201" s="92">
        <f>'Datos Actividad'!$H197*'FE Sectorial'!M200</f>
        <v>0</v>
      </c>
      <c r="M201" s="92">
        <f>'Datos Actividad'!$H197*'FE Sectorial'!N200</f>
        <v>0</v>
      </c>
      <c r="N201" s="92">
        <f>'Datos Actividad'!$H197*'FE Sectorial'!O200</f>
        <v>0</v>
      </c>
      <c r="O201" s="87">
        <f>IF(D201&lt;400,H201+I201*'Factores generales'!$M$41+J201*'Factores generales'!$N$41,I201*'Factores generales'!$M$41+J201*'Factores generales'!$N$41)</f>
        <v>1392671.0227625999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Actividad'!$H199*'FE Sectorial'!I202</f>
        <v>0</v>
      </c>
      <c r="I203" s="92">
        <f>'Datos Actividad'!$H199*'FE Sectorial'!J202</f>
        <v>17863.212169295999</v>
      </c>
      <c r="J203" s="92">
        <f>'Datos Actividad'!$H199*'FE Sectorial'!K202</f>
        <v>0</v>
      </c>
      <c r="K203" s="92">
        <f>'Datos Actividad'!$H199*'FE Sectorial'!L202</f>
        <v>0</v>
      </c>
      <c r="L203" s="92">
        <f>'Datos Actividad'!$H199*'FE Sectorial'!M202</f>
        <v>0</v>
      </c>
      <c r="M203" s="92">
        <f>'Datos Actividad'!$H199*'FE Sectorial'!N202</f>
        <v>0</v>
      </c>
      <c r="N203" s="92">
        <f>'Datos Actividad'!$H199*'FE Sectorial'!O202</f>
        <v>0</v>
      </c>
      <c r="O203" s="87">
        <f>IF(D203&lt;400,H203+I203*'Factores generales'!$M$41+J203*'Factores generales'!$N$41,I203*'Factores generales'!$M$41+J203*'Factores generales'!$N$41)</f>
        <v>375127.455555216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4630051.8441765979</v>
      </c>
      <c r="I204" s="134">
        <f t="shared" ref="I204:N204" si="52">SUM(I205:I221)</f>
        <v>36974.022233407777</v>
      </c>
      <c r="J204" s="134">
        <f t="shared" si="52"/>
        <v>27.888218029374013</v>
      </c>
      <c r="K204" s="134">
        <f t="shared" si="52"/>
        <v>0</v>
      </c>
      <c r="L204" s="134">
        <f t="shared" si="52"/>
        <v>0</v>
      </c>
      <c r="M204" s="134">
        <f t="shared" si="52"/>
        <v>18031.15723976761</v>
      </c>
      <c r="N204" s="134">
        <f t="shared" si="52"/>
        <v>0</v>
      </c>
      <c r="O204" s="134">
        <f t="shared" ref="O204" si="53">SUM(O205:O221)</f>
        <v>5415151.6586672673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Actividad'!$H203*'FE Sectorial'!I206</f>
        <v>3703.5678041715805</v>
      </c>
      <c r="I207" s="92">
        <f>'Datos Actividad'!$H203*'FE Sectorial'!J206</f>
        <v>28136.538466476606</v>
      </c>
      <c r="J207" s="92">
        <f>'Datos Actividad'!$H203*'FE Sectorial'!K206</f>
        <v>0</v>
      </c>
      <c r="K207" s="92">
        <f>'Datos Actividad'!$H203*'FE Sectorial'!L206</f>
        <v>0</v>
      </c>
      <c r="L207" s="92">
        <f>'Datos Actividad'!$H203*'FE Sectorial'!M206</f>
        <v>0</v>
      </c>
      <c r="M207" s="92">
        <f>'Datos Actividad'!$H203*'FE Sectorial'!N206</f>
        <v>16785.993663989164</v>
      </c>
      <c r="N207" s="92">
        <f>'Datos Actividad'!$H203*'FE Sectorial'!O206</f>
        <v>0</v>
      </c>
      <c r="O207" s="87">
        <f>IF(D207&lt;400,H207+I207*'Factores generales'!$M$41+J207*'Factores generales'!$N$41,I207*'Factores generales'!$M$41+J207*'Factores generales'!$N$41)</f>
        <v>594570.87560018036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Actividad'!$H205*'FE Sectorial'!I208</f>
        <v>1596881.770315029</v>
      </c>
      <c r="I209" s="92">
        <f>'Datos Actividad'!$H205*'FE Sectorial'!J208</f>
        <v>971.6196381826453</v>
      </c>
      <c r="J209" s="92">
        <f>'Datos Actividad'!$H205*'FE Sectorial'!K208</f>
        <v>25.010256414645873</v>
      </c>
      <c r="K209" s="92">
        <f>'Datos Actividad'!$H205*'FE Sectorial'!L208</f>
        <v>0</v>
      </c>
      <c r="L209" s="92">
        <f>'Datos Actividad'!$H205*'FE Sectorial'!M208</f>
        <v>0</v>
      </c>
      <c r="M209" s="92">
        <f>'Datos Actividad'!$H205*'FE Sectorial'!N208</f>
        <v>822.42341697679876</v>
      </c>
      <c r="N209" s="92">
        <f>'Datos Actividad'!$H205*'FE Sectorial'!O208</f>
        <v>0</v>
      </c>
      <c r="O209" s="87">
        <f>IF(D209&lt;400,H209+I209*'Factores generales'!$M$41+J209*'Factores generales'!$N$41,I209*'Factores generales'!$M$41+J209*'Factores generales'!$N$41)</f>
        <v>1625038.9622054046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Actividad'!$H209*'FE Sectorial'!I212</f>
        <v>2806506.8903447348</v>
      </c>
      <c r="I213" s="92">
        <f>'Datos Actividad'!$H209*'FE Sectorial'!J212</f>
        <v>0</v>
      </c>
      <c r="J213" s="92">
        <f>'Datos Actividad'!$H209*'FE Sectorial'!K212</f>
        <v>0</v>
      </c>
      <c r="K213" s="92">
        <f>'Datos Actividad'!$H209*'FE Sectorial'!L212</f>
        <v>0</v>
      </c>
      <c r="L213" s="92">
        <f>'Datos Actividad'!$H209*'FE Sectorial'!M212</f>
        <v>0</v>
      </c>
      <c r="M213" s="92">
        <f>'Datos Actividad'!$H209*'FE Sectorial'!N212</f>
        <v>0</v>
      </c>
      <c r="N213" s="92">
        <f>'Datos Actividad'!$H209*'FE Sectorial'!O212</f>
        <v>0</v>
      </c>
      <c r="O213" s="87">
        <f>IF(D213&lt;400,H213+I213*'Factores generales'!$M$41+J213*'Factores generales'!$N$41,I213*'Factores generales'!$M$41+J213*'Factores generales'!$N$41)</f>
        <v>2806506.8903447348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Actividad'!$H211*'FE Sectorial'!I214</f>
        <v>203.4835948831886</v>
      </c>
      <c r="I215" s="92">
        <f>'Datos Actividad'!$H211*'FE Sectorial'!J214</f>
        <v>7718.4362718665179</v>
      </c>
      <c r="J215" s="92">
        <f>'Datos Actividad'!$H211*'FE Sectorial'!K214</f>
        <v>0</v>
      </c>
      <c r="K215" s="92">
        <f>'Datos Actividad'!$H211*'FE Sectorial'!L214</f>
        <v>0</v>
      </c>
      <c r="L215" s="92">
        <f>'Datos Actividad'!$H211*'FE Sectorial'!M214</f>
        <v>0</v>
      </c>
      <c r="M215" s="92">
        <f>'Datos Actividad'!$H211*'FE Sectorial'!N214</f>
        <v>304.2722759512605</v>
      </c>
      <c r="N215" s="92">
        <f>'Datos Actividad'!$H211*'FE Sectorial'!O214</f>
        <v>0</v>
      </c>
      <c r="O215" s="87">
        <f>IF(D215&lt;400,H215+I215*'Factores generales'!$M$41+J215*'Factores generales'!$N$41,I215*'Factores generales'!$M$41+J215*'Factores generales'!$N$41)</f>
        <v>162290.64530408004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Actividad'!$H214*'FE Sectorial'!I217</f>
        <v>63084.828806475358</v>
      </c>
      <c r="I218" s="92">
        <f>'Datos Actividad'!$H214*'FE Sectorial'!J217</f>
        <v>39.690001072190647</v>
      </c>
      <c r="J218" s="92">
        <f>'Datos Actividad'!$H214*'FE Sectorial'!K217</f>
        <v>1.1235255699033733</v>
      </c>
      <c r="K218" s="92">
        <f>'Datos Actividad'!$H214*'FE Sectorial'!L217</f>
        <v>0</v>
      </c>
      <c r="L218" s="92">
        <f>'Datos Actividad'!$H214*'FE Sectorial'!M217</f>
        <v>0</v>
      </c>
      <c r="M218" s="92">
        <f>'Datos Actividad'!$H214*'FE Sectorial'!N217</f>
        <v>33.050620854771097</v>
      </c>
      <c r="N218" s="92">
        <f>'Datos Actividad'!$H214*'FE Sectorial'!O217</f>
        <v>0</v>
      </c>
      <c r="O218" s="87">
        <f>IF(D218&lt;400,H218+I218*'Factores generales'!$M$41+J218*'Factores generales'!$N$41,I218*'Factores generales'!$M$41+J218*'Factores generales'!$N$41)</f>
        <v>64266.611755661404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Actividad'!$H216*'FE Sectorial'!I219</f>
        <v>159671.30331130381</v>
      </c>
      <c r="I220" s="92">
        <f>'Datos Actividad'!$H216*'FE Sectorial'!J219</f>
        <v>107.73785580982378</v>
      </c>
      <c r="J220" s="92">
        <f>'Datos Actividad'!$H216*'FE Sectorial'!K219</f>
        <v>1.7544360448247678</v>
      </c>
      <c r="K220" s="92">
        <f>'Datos Actividad'!$H216*'FE Sectorial'!L219</f>
        <v>0</v>
      </c>
      <c r="L220" s="92">
        <f>'Datos Actividad'!$H216*'FE Sectorial'!M219</f>
        <v>0</v>
      </c>
      <c r="M220" s="92">
        <f>'Datos Actividad'!$H216*'FE Sectorial'!N219</f>
        <v>85.417261995615121</v>
      </c>
      <c r="N220" s="92">
        <f>'Datos Actividad'!$H216*'FE Sectorial'!O219</f>
        <v>0</v>
      </c>
      <c r="O220" s="87">
        <f>IF(D220&lt;400,H220+I220*'Factores generales'!$M$41+J220*'Factores generales'!$N$41,I220*'Factores generales'!$M$41+J220*'Factores generales'!$N$41)</f>
        <v>162477.67345720579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12940132.7534122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6627018.7345553078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2190027.3108517458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4436991.4237035625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9"/>
  <sheetViews>
    <sheetView zoomScale="80" zoomScaleNormal="80" zoomScalePageLayoutView="80" workbookViewId="0">
      <pane ySplit="4" topLeftCell="A5" activePane="bottomLeft" state="frozen"/>
      <selection pane="bottomLeft" sqref="A1:XFD104857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157226224.72823241</v>
      </c>
      <c r="I5" s="138">
        <f t="shared" si="0"/>
        <v>386740.37119287986</v>
      </c>
      <c r="J5" s="138">
        <f t="shared" si="0"/>
        <v>4051.5913693284242</v>
      </c>
      <c r="K5" s="138">
        <f t="shared" si="0"/>
        <v>871910.08387877548</v>
      </c>
      <c r="L5" s="138">
        <f t="shared" si="0"/>
        <v>2855071.6382186944</v>
      </c>
      <c r="M5" s="138">
        <f t="shared" si="0"/>
        <v>566548.89823563618</v>
      </c>
      <c r="N5" s="138">
        <f t="shared" si="0"/>
        <v>85233.76492473176</v>
      </c>
      <c r="O5" s="138">
        <f t="shared" si="0"/>
        <v>166603765.84777468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152219488.94611782</v>
      </c>
      <c r="I6" s="124">
        <f t="shared" si="1"/>
        <v>23145.585464364169</v>
      </c>
      <c r="J6" s="124">
        <f t="shared" si="1"/>
        <v>4021.0657245367406</v>
      </c>
      <c r="K6" s="124">
        <f t="shared" si="1"/>
        <v>870388.25997613196</v>
      </c>
      <c r="L6" s="124">
        <f t="shared" si="1"/>
        <v>2852636.729689837</v>
      </c>
      <c r="M6" s="124">
        <f t="shared" si="1"/>
        <v>447232.74410658155</v>
      </c>
      <c r="N6" s="124">
        <f t="shared" si="1"/>
        <v>60884.679636159104</v>
      </c>
      <c r="O6" s="124">
        <f t="shared" si="1"/>
        <v>153952076.61547583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47849518.224435821</v>
      </c>
      <c r="I7" s="129">
        <f t="shared" si="2"/>
        <v>1014.2215242057156</v>
      </c>
      <c r="J7" s="129">
        <f t="shared" si="2"/>
        <v>162.14455123680648</v>
      </c>
      <c r="K7" s="129">
        <f t="shared" si="2"/>
        <v>129243.49978309995</v>
      </c>
      <c r="L7" s="129">
        <f t="shared" si="2"/>
        <v>15596.002359004693</v>
      </c>
      <c r="M7" s="129">
        <f t="shared" si="2"/>
        <v>4029.2347043375512</v>
      </c>
      <c r="N7" s="129">
        <f t="shared" si="2"/>
        <v>32743.722999518392</v>
      </c>
      <c r="O7" s="129">
        <f t="shared" si="2"/>
        <v>47921081.687327549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34410618.869317055</v>
      </c>
      <c r="I8" s="134">
        <f t="shared" si="3"/>
        <v>772.2006550215599</v>
      </c>
      <c r="J8" s="134">
        <f t="shared" si="3"/>
        <v>133.59234672165601</v>
      </c>
      <c r="K8" s="134">
        <f t="shared" si="3"/>
        <v>93132.711216983997</v>
      </c>
      <c r="L8" s="134">
        <f t="shared" si="3"/>
        <v>10860.599729506202</v>
      </c>
      <c r="M8" s="134">
        <f t="shared" si="3"/>
        <v>2842.4669704578005</v>
      </c>
      <c r="N8" s="134">
        <f t="shared" si="3"/>
        <v>31790.7488562</v>
      </c>
      <c r="O8" s="134">
        <f t="shared" si="3"/>
        <v>34468248.710556224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34410618.869317055</v>
      </c>
      <c r="I9" s="93">
        <f t="shared" ref="I9:O9" si="4">I10+I11+I12+I13+I14</f>
        <v>772.2006550215599</v>
      </c>
      <c r="J9" s="93">
        <f t="shared" si="4"/>
        <v>133.59234672165601</v>
      </c>
      <c r="K9" s="93">
        <f t="shared" si="4"/>
        <v>93132.711216983997</v>
      </c>
      <c r="L9" s="93">
        <f t="shared" si="4"/>
        <v>10860.599729506202</v>
      </c>
      <c r="M9" s="93">
        <f t="shared" si="4"/>
        <v>2842.4669704578005</v>
      </c>
      <c r="N9" s="93">
        <f t="shared" si="4"/>
        <v>31790.7488562</v>
      </c>
      <c r="O9" s="93">
        <f t="shared" si="4"/>
        <v>34468248.710556224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Actividad'!$I6*'FE Sectorial'!$H9*'FE Sectorial'!I9*'FE Sectorial'!$P9/1000</f>
        <v>1709548.2395375997</v>
      </c>
      <c r="I10" s="92">
        <f>'Datos Actividad'!$I6*'FE Sectorial'!$H9*'FE Sectorial'!J9/1000/1000</f>
        <v>18.440137200000002</v>
      </c>
      <c r="J10" s="92">
        <f>'Datos Actividad'!$I6*'FE Sectorial'!$H9*'FE Sectorial'!K9/1000/1000</f>
        <v>27.660205800000004</v>
      </c>
      <c r="K10" s="92">
        <f>'Datos Actividad'!$I6*'FE Sectorial'!$H9*'FE Sectorial'!L9/1000/1000</f>
        <v>5532.0411599999998</v>
      </c>
      <c r="L10" s="92">
        <f>'Datos Actividad'!$I6*'FE Sectorial'!$H9*'FE Sectorial'!M9/1000/1000</f>
        <v>368.80274400000002</v>
      </c>
      <c r="M10" s="92">
        <f>'Datos Actividad'!$I6*'FE Sectorial'!$H9*'FE Sectorial'!N9/1000/1000</f>
        <v>92.200686000000005</v>
      </c>
      <c r="N10" s="92">
        <f>'Datos Actividad'!$I6*'FE Sectorial'!$H9*'FE Sectorial'!O9/1000/1000</f>
        <v>17653.929800000002</v>
      </c>
      <c r="O10" s="92">
        <f>IF(D10&lt;400,H10+I10*'Factores generales'!$M$41+J10*'Factores generales'!$N$41,I10*'Factores generales'!$M$41+J10*'Factores generales'!$N$41)</f>
        <v>1718510.1462167997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Actividad'!$I7*'FE Sectorial'!$H10*'FE Sectorial'!I10*'FE Sectorial'!$P10/1000</f>
        <v>2735967.4791456144</v>
      </c>
      <c r="I11" s="17">
        <f>'Datos Actividad'!$I7*'FE Sectorial'!$H10*'FE Sectorial'!J10/1000/1000</f>
        <v>111.886781955</v>
      </c>
      <c r="J11" s="17">
        <f>'Datos Actividad'!$I7*'FE Sectorial'!$H10*'FE Sectorial'!K10/1000/1000</f>
        <v>22.377356390999999</v>
      </c>
      <c r="K11" s="17">
        <f>'Datos Actividad'!$I7*'FE Sectorial'!$H10*'FE Sectorial'!L10/1000/1000</f>
        <v>7459.1187970000001</v>
      </c>
      <c r="L11" s="17">
        <f>'Datos Actividad'!$I7*'FE Sectorial'!$H10*'FE Sectorial'!M10/1000/1000</f>
        <v>559.43390977499996</v>
      </c>
      <c r="M11" s="17">
        <f>'Datos Actividad'!$I7*'FE Sectorial'!$H10*'FE Sectorial'!N10/1000/1000</f>
        <v>186.47796992500002</v>
      </c>
      <c r="N11" s="17">
        <f>'Datos Actividad'!$I7*'FE Sectorial'!$H10*'FE Sectorial'!O10/1000/1000</f>
        <v>1353.0494562000001</v>
      </c>
      <c r="O11" s="17">
        <f>IF(D11&lt;400,H11+I11*'Factores generales'!$M$41+J11*'Factores generales'!$N$41,I11*'Factores generales'!$M$41+J11*'Factores generales'!$N$41)</f>
        <v>2745254.0820478797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Actividad'!$I8*'FE Sectorial'!$H11*'FE Sectorial'!I11*'FE Sectorial'!$P11/1000</f>
        <v>4946824.1033164794</v>
      </c>
      <c r="I12" s="92">
        <f>'Datos Actividad'!$I8*'FE Sectorial'!$H11*'FE Sectorial'!J11/1000/1000</f>
        <v>193.67410944</v>
      </c>
      <c r="J12" s="92">
        <f>'Datos Actividad'!$I8*'FE Sectorial'!$H11*'FE Sectorial'!K11/1000/1000</f>
        <v>38.734821887999999</v>
      </c>
      <c r="K12" s="92">
        <f>'Datos Actividad'!$I8*'FE Sectorial'!$H11*'FE Sectorial'!L11/1000/1000</f>
        <v>12911.607296</v>
      </c>
      <c r="L12" s="92">
        <f>'Datos Actividad'!$I8*'FE Sectorial'!$H11*'FE Sectorial'!M11/1000/1000</f>
        <v>968.37054719999992</v>
      </c>
      <c r="M12" s="92">
        <f>'Datos Actividad'!$I8*'FE Sectorial'!$H11*'FE Sectorial'!N11/1000/1000</f>
        <v>322.79018239999999</v>
      </c>
      <c r="N12" s="92">
        <f>'Datos Actividad'!$I8*'FE Sectorial'!$H11*'FE Sectorial'!O11/1000/1000</f>
        <v>12783.7696</v>
      </c>
      <c r="O12" s="92">
        <f>IF(D12&lt;400,H12+I12*'Factores generales'!$M$41+J12*'Factores generales'!$N$41,I12*'Factores generales'!$M$41+J12*'Factores generales'!$N$41)</f>
        <v>4962899.0543999989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Actividad'!$I9*'FE Sectorial'!$H12*'FE Sectorial'!I12*'FE Sectorial'!$P12/1000</f>
        <v>25018279.047317363</v>
      </c>
      <c r="I13" s="17">
        <f>'Datos Actividad'!$I9*'FE Sectorial'!$H12*'FE Sectorial'!J12/1000/1000</f>
        <v>448.19962642655997</v>
      </c>
      <c r="J13" s="17">
        <f>'Datos Actividad'!$I9*'FE Sectorial'!$H12*'FE Sectorial'!K12/1000/1000</f>
        <v>44.819962642656002</v>
      </c>
      <c r="K13" s="17">
        <f>'Datos Actividad'!$I9*'FE Sectorial'!$H12*'FE Sectorial'!L12/1000/1000</f>
        <v>67229.943963983998</v>
      </c>
      <c r="L13" s="17">
        <f>'Datos Actividad'!$I9*'FE Sectorial'!$H12*'FE Sectorial'!M12/1000/1000</f>
        <v>8963.992528531202</v>
      </c>
      <c r="M13" s="17">
        <f>'Datos Actividad'!$I9*'FE Sectorial'!$H12*'FE Sectorial'!N12/1000/1000</f>
        <v>2240.9981321328005</v>
      </c>
      <c r="N13" s="17">
        <f>'Datos Actividad'!$I9*'FE Sectorial'!$H12*'FE Sectorial'!O12/1000/1000</f>
        <v>0</v>
      </c>
      <c r="O13" s="17">
        <f>IF(D13&lt;400,H13+I13*'Factores generales'!$M$41+J13*'Factores generales'!$N$41,I13*'Factores generales'!$M$41+J13*'Factores generales'!$N$41)</f>
        <v>25041585.427891545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Actividad'!$I10*'FE Sectorial'!$H13*'FE Sectorial'!I13*'FE Sectorial'!$P13/1000</f>
        <v>0</v>
      </c>
      <c r="I14" s="147">
        <f>'Datos Actividad'!$I10*'FE Sectorial'!$H13*'FE Sectorial'!J13/1000/1000</f>
        <v>0</v>
      </c>
      <c r="J14" s="147">
        <f>'Datos Actividad'!$I10*'FE Sectorial'!$H13*'FE Sectorial'!K13/1000/1000</f>
        <v>0</v>
      </c>
      <c r="K14" s="147">
        <f>'Datos Actividad'!$I10*'FE Sectorial'!$H13*'FE Sectorial'!L13/1000/1000</f>
        <v>0</v>
      </c>
      <c r="L14" s="147">
        <f>'Datos Actividad'!$I10*'FE Sectorial'!$H13*'FE Sectorial'!M13/1000/1000</f>
        <v>0</v>
      </c>
      <c r="M14" s="147">
        <f>'Datos Actividad'!$I10*'FE Sectorial'!$H13*'FE Sectorial'!N13/1000/1000</f>
        <v>0</v>
      </c>
      <c r="N14" s="147">
        <f>'Datos Actividad'!$I10*'FE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3693027.886353197</v>
      </c>
      <c r="I17" s="134">
        <f t="shared" ref="I17:O17" si="5">SUM(I18:I25)</f>
        <v>67.514620040630376</v>
      </c>
      <c r="J17" s="134">
        <f t="shared" si="5"/>
        <v>10.0814174474623</v>
      </c>
      <c r="K17" s="134">
        <f t="shared" si="5"/>
        <v>9885.9472418583282</v>
      </c>
      <c r="L17" s="134">
        <f t="shared" si="5"/>
        <v>1254.9109264079816</v>
      </c>
      <c r="M17" s="134">
        <f t="shared" si="5"/>
        <v>316.37721700212393</v>
      </c>
      <c r="N17" s="134">
        <f t="shared" si="5"/>
        <v>274.01081755568248</v>
      </c>
      <c r="O17" s="134">
        <f t="shared" si="5"/>
        <v>3697570.9327827631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Actividad'!$I14*'FE Sectorial'!$H17*'FE Sectorial'!I17*'FE Sectorial'!P17/1000</f>
        <v>1665542.5384062959</v>
      </c>
      <c r="I18" s="17">
        <f>'Datos Actividad'!$I14*'FE Sectorial'!$H17*'FE Sectorial'!J17/1000/1000</f>
        <v>29.838005327999998</v>
      </c>
      <c r="J18" s="17">
        <f>'Datos Actividad'!$I14*'FE Sectorial'!$H17*'FE Sectorial'!K17/1000/1000</f>
        <v>2.9838005328000006</v>
      </c>
      <c r="K18" s="17">
        <f>'Datos Actividad'!$I14*'FE Sectorial'!$H17*'FE Sectorial'!L17/1000/1000</f>
        <v>4475.7007991999999</v>
      </c>
      <c r="L18" s="17">
        <f>'Datos Actividad'!$I14*'FE Sectorial'!$H17*'FE Sectorial'!M17/1000/1000</f>
        <v>596.76010655999994</v>
      </c>
      <c r="M18" s="17">
        <f>'Datos Actividad'!$I14*'FE Sectorial'!$H17*'FE Sectorial'!N17/1000/1000</f>
        <v>149.19002663999999</v>
      </c>
      <c r="N18" s="17">
        <f>'Datos Actividad'!$I14*'FE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1667094.1146833519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Actividad'!$I15*'FE Sectorial'!$H18*'FE Sectorial'!I18*'FE Sectorial'!P18/1000</f>
        <v>0</v>
      </c>
      <c r="I19" s="17">
        <f>'Datos Actividad'!$I15*'FE Sectorial'!$H18*'FE Sectorial'!J18/1000/1000</f>
        <v>0</v>
      </c>
      <c r="J19" s="17">
        <f>'Datos Actividad'!$I15*'FE Sectorial'!$H18*'FE Sectorial'!K18/1000/1000</f>
        <v>0</v>
      </c>
      <c r="K19" s="17">
        <f>'Datos Actividad'!$I15*'FE Sectorial'!$H18*'FE Sectorial'!L18/1000/1000</f>
        <v>0</v>
      </c>
      <c r="L19" s="17">
        <f>'Datos Actividad'!$I15*'FE Sectorial'!$H18*'FE Sectorial'!M18/1000/1000</f>
        <v>0</v>
      </c>
      <c r="M19" s="17">
        <f>'Datos Actividad'!$I15*'FE Sectorial'!$H18*'FE Sectorial'!N18/1000/1000</f>
        <v>0</v>
      </c>
      <c r="N19" s="17">
        <f>'Datos Actividad'!$I15*'FE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Actividad'!$I16*'FE Sectorial'!$H19*'FE Sectorial'!I19*'FE Sectorial'!P19/1000</f>
        <v>1684600.7102682355</v>
      </c>
      <c r="I20" s="17">
        <f>'Datos Actividad'!$I16*'FE Sectorial'!$H19*'FE Sectorial'!J19/1000/1000</f>
        <v>29.393507647058826</v>
      </c>
      <c r="J20" s="17">
        <f>'Datos Actividad'!$I16*'FE Sectorial'!$H19*'FE Sectorial'!K19/1000/1000</f>
        <v>2.9393507647058827</v>
      </c>
      <c r="K20" s="17">
        <f>'Datos Actividad'!$I16*'FE Sectorial'!$H19*'FE Sectorial'!L19/1000/1000</f>
        <v>4409.026147058823</v>
      </c>
      <c r="L20" s="17">
        <f>'Datos Actividad'!$I16*'FE Sectorial'!$H19*'FE Sectorial'!M19/1000/1000</f>
        <v>587.87015294117657</v>
      </c>
      <c r="M20" s="17">
        <f>'Datos Actividad'!$I16*'FE Sectorial'!$H19*'FE Sectorial'!N19/1000/1000</f>
        <v>146.96753823529414</v>
      </c>
      <c r="N20" s="17">
        <f>'Datos Actividad'!$I16*'FE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1686129.1726658826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Actividad'!$I17*'FE Sectorial'!$H20*'FE Sectorial'!I20*'FE Sectorial'!P20/1000</f>
        <v>11774.260070388349</v>
      </c>
      <c r="I21" s="17">
        <f>'Datos Actividad'!$I17*'FE Sectorial'!$H20*'FE Sectorial'!J20/1000/1000</f>
        <v>0.49901504854368933</v>
      </c>
      <c r="J21" s="17">
        <f>'Datos Actividad'!$I17*'FE Sectorial'!$H20*'FE Sectorial'!K20/1000/1000</f>
        <v>9.9803009708737844E-2</v>
      </c>
      <c r="K21" s="17">
        <f>'Datos Actividad'!$I17*'FE Sectorial'!$H20*'FE Sectorial'!L20/1000/1000</f>
        <v>33.267669902912615</v>
      </c>
      <c r="L21" s="17">
        <f>'Datos Actividad'!$I17*'FE Sectorial'!$H20*'FE Sectorial'!M20/1000/1000</f>
        <v>2.4950752427184466</v>
      </c>
      <c r="M21" s="17">
        <f>'Datos Actividad'!$I17*'FE Sectorial'!$H20*'FE Sectorial'!N20/1000/1000</f>
        <v>0.8316917475728155</v>
      </c>
      <c r="N21" s="17">
        <f>'Datos Actividad'!$I17*'FE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Actividad'!$I18*'FE Sectorial'!$H21*'FE Sectorial'!I21*'FE Sectorial'!P21/1000</f>
        <v>0</v>
      </c>
      <c r="I22" s="17">
        <f>'Datos Actividad'!$I18*'FE Sectorial'!$H21*'FE Sectorial'!J21/1000/1000</f>
        <v>0</v>
      </c>
      <c r="J22" s="17">
        <f>'Datos Actividad'!$I18*'FE Sectorial'!$H21*'FE Sectorial'!K21/1000/1000</f>
        <v>0</v>
      </c>
      <c r="K22" s="17">
        <f>'Datos Actividad'!$I18*'FE Sectorial'!$H21*'FE Sectorial'!L21/1000/1000</f>
        <v>0</v>
      </c>
      <c r="L22" s="17">
        <f>'Datos Actividad'!$I18*'FE Sectorial'!$H21*'FE Sectorial'!M21/1000/1000</f>
        <v>0</v>
      </c>
      <c r="M22" s="17">
        <f>'Datos Actividad'!$I18*'FE Sectorial'!$H21*'FE Sectorial'!N21/1000/1000</f>
        <v>0</v>
      </c>
      <c r="N22" s="17">
        <f>'Datos Actividad'!$I18*'FE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Actividad'!$I19*'FE Sectorial'!$H22*'FE Sectorial'!I22*'FE Sectorial'!P22/1000</f>
        <v>54569.997326382349</v>
      </c>
      <c r="I23" s="17">
        <f>'Datos Actividad'!$I19*'FE Sectorial'!$H22*'FE Sectorial'!J22/1000/1000</f>
        <v>2.231627911764706</v>
      </c>
      <c r="J23" s="17">
        <f>'Datos Actividad'!$I19*'FE Sectorial'!$H22*'FE Sectorial'!K22/1000/1000</f>
        <v>0.44632558235294117</v>
      </c>
      <c r="K23" s="17">
        <f>'Datos Actividad'!$I19*'FE Sectorial'!$H22*'FE Sectorial'!L22/1000/1000</f>
        <v>148.77519411764703</v>
      </c>
      <c r="L23" s="17">
        <f>'Datos Actividad'!$I19*'FE Sectorial'!$H22*'FE Sectorial'!M22/1000/1000</f>
        <v>11.15813955882353</v>
      </c>
      <c r="M23" s="17">
        <f>'Datos Actividad'!$I19*'FE Sectorial'!$H22*'FE Sectorial'!N22/1000/1000</f>
        <v>3.7193798529411763</v>
      </c>
      <c r="N23" s="17">
        <f>'Datos Actividad'!$I19*'FE Sectorial'!$H22*'FE Sectorial'!O22/1000/1000</f>
        <v>26.987128235294119</v>
      </c>
      <c r="O23" s="87">
        <f>IF(D23&lt;400,H23+I23*'Factores generales'!$M$41+J23*'Factores generales'!$N$41,I23*'Factores generales'!$M$41+J23*'Factores generales'!$N$41)</f>
        <v>54755.222443058818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Actividad'!$I20*'FE Sectorial'!$H23*'FE Sectorial'!I23*'FE Sectorial'!P23/1000</f>
        <v>92669.492124000011</v>
      </c>
      <c r="I24" s="17">
        <f>'Datos Actividad'!$I20*'FE Sectorial'!$H23*'FE Sectorial'!J23/1000/1000</f>
        <v>3.6281219999999998</v>
      </c>
      <c r="J24" s="17">
        <f>'Datos Actividad'!$I20*'FE Sectorial'!$H23*'FE Sectorial'!K23/1000/1000</f>
        <v>0.72562440000000006</v>
      </c>
      <c r="K24" s="17">
        <f>'Datos Actividad'!$I20*'FE Sectorial'!$H23*'FE Sectorial'!L23/1000/1000</f>
        <v>241.87479999999999</v>
      </c>
      <c r="L24" s="17">
        <f>'Datos Actividad'!$I20*'FE Sectorial'!$H23*'FE Sectorial'!M23/1000/1000</f>
        <v>18.140610000000002</v>
      </c>
      <c r="M24" s="17">
        <f>'Datos Actividad'!$I20*'FE Sectorial'!$H23*'FE Sectorial'!N23/1000/1000</f>
        <v>6.0468700000000002</v>
      </c>
      <c r="N24" s="17">
        <f>'Datos Actividad'!$I20*'FE Sectorial'!$H23*'FE Sectorial'!O23/1000/1000</f>
        <v>239.48</v>
      </c>
      <c r="O24" s="87">
        <f>IF(D24&lt;400,H24+I24*'Factores generales'!$M$41+J24*'Factores generales'!$N$41,I24*'Factores generales'!$M$41+J24*'Factores generales'!$N$41)</f>
        <v>92970.626250000016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Actividad'!$I21*'FE Sectorial'!$H24*'FE Sectorial'!I24*'FE Sectorial'!P24/1000</f>
        <v>183870.88815789472</v>
      </c>
      <c r="I25" s="17">
        <f>'Datos Actividad'!$I21*'FE Sectorial'!$H24*'FE Sectorial'!J24/1000/1000</f>
        <v>1.924342105263158</v>
      </c>
      <c r="J25" s="17">
        <f>'Datos Actividad'!$I21*'FE Sectorial'!$H24*'FE Sectorial'!K24/1000/1000</f>
        <v>2.8865131578947376</v>
      </c>
      <c r="K25" s="17">
        <f>'Datos Actividad'!$I21*'FE Sectorial'!$H24*'FE Sectorial'!L24/1000/1000</f>
        <v>577.3026315789474</v>
      </c>
      <c r="L25" s="17">
        <f>'Datos Actividad'!$I21*'FE Sectorial'!$H24*'FE Sectorial'!M24/1000/1000</f>
        <v>38.486842105263158</v>
      </c>
      <c r="M25" s="17">
        <f>'Datos Actividad'!$I21*'FE Sectorial'!$H24*'FE Sectorial'!N24/1000/1000</f>
        <v>9.6217105263157894</v>
      </c>
      <c r="N25" s="17">
        <f>'Datos Actividad'!$I21*'FE Sectorial'!$H24*'FE Sectorial'!O24/1000/1000</f>
        <v>0</v>
      </c>
      <c r="O25" s="87">
        <f>IF(D25&lt;400,H25+I25*'Factores generales'!$M$41+J25*'Factores generales'!$N$41,I25*'Factores generales'!$M$41+J25*'Factores generales'!$N$41)</f>
        <v>184806.11842105261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9745871.468765568</v>
      </c>
      <c r="I26" s="134">
        <f t="shared" ref="I26:O26" si="6">I27+I28</f>
        <v>174.50624914352537</v>
      </c>
      <c r="J26" s="134">
        <f t="shared" si="6"/>
        <v>18.470787067688139</v>
      </c>
      <c r="K26" s="134">
        <f t="shared" si="6"/>
        <v>26224.841324257624</v>
      </c>
      <c r="L26" s="134">
        <f t="shared" si="6"/>
        <v>3480.4917030905085</v>
      </c>
      <c r="M26" s="134">
        <f t="shared" si="6"/>
        <v>870.39051687762708</v>
      </c>
      <c r="N26" s="134">
        <f t="shared" si="6"/>
        <v>678.96332576271186</v>
      </c>
      <c r="O26" s="134">
        <f t="shared" si="6"/>
        <v>9755262.043988565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9745871.468765568</v>
      </c>
      <c r="I28" s="15">
        <f t="shared" si="7"/>
        <v>174.50624914352537</v>
      </c>
      <c r="J28" s="15">
        <f t="shared" si="7"/>
        <v>18.470787067688139</v>
      </c>
      <c r="K28" s="15">
        <f t="shared" si="7"/>
        <v>26224.841324257624</v>
      </c>
      <c r="L28" s="15">
        <f t="shared" si="7"/>
        <v>3480.4917030905085</v>
      </c>
      <c r="M28" s="15">
        <f t="shared" si="7"/>
        <v>870.39051687762708</v>
      </c>
      <c r="N28" s="15">
        <f t="shared" si="7"/>
        <v>678.96332576271186</v>
      </c>
      <c r="O28" s="15">
        <f t="shared" si="7"/>
        <v>9755262.043988565</v>
      </c>
    </row>
    <row r="29" spans="1:15" outlineLevel="1" x14ac:dyDescent="0.25">
      <c r="B29" s="1" t="s">
        <v>7</v>
      </c>
      <c r="G29" s="1"/>
      <c r="H29" s="95">
        <f t="shared" ref="H29:O29" si="8">H30+H31</f>
        <v>66456.80288033899</v>
      </c>
      <c r="I29" s="95">
        <f t="shared" si="8"/>
        <v>0.81181449152542373</v>
      </c>
      <c r="J29" s="95">
        <f t="shared" si="8"/>
        <v>1.0500217372881357</v>
      </c>
      <c r="K29" s="95">
        <f t="shared" si="8"/>
        <v>213.44434745762712</v>
      </c>
      <c r="L29" s="95">
        <f t="shared" si="8"/>
        <v>14.301289830508473</v>
      </c>
      <c r="M29" s="95">
        <f t="shared" si="8"/>
        <v>3.6290724576271183</v>
      </c>
      <c r="N29" s="95">
        <f t="shared" si="8"/>
        <v>655.26224576271181</v>
      </c>
      <c r="O29" s="95">
        <f t="shared" si="8"/>
        <v>66799.357723220339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Actividad'!$I26*'FE Sectorial'!$H29*'FE Sectorial'!I29*'FE Sectorial'!P29/1000</f>
        <v>63302.365880338984</v>
      </c>
      <c r="I30" s="17">
        <f>'Datos Actividad'!$I26*'FE Sectorial'!$H29*'FE Sectorial'!J29/1000/1000</f>
        <v>0.68281449152542373</v>
      </c>
      <c r="J30" s="17">
        <f>'Datos Actividad'!$I26*'FE Sectorial'!$H29*'FE Sectorial'!K29/1000/1000</f>
        <v>1.0242217372881357</v>
      </c>
      <c r="K30" s="17">
        <f>'Datos Actividad'!$I26*'FE Sectorial'!$H29*'FE Sectorial'!L29/1000/1000</f>
        <v>204.84434745762712</v>
      </c>
      <c r="L30" s="17">
        <f>'Datos Actividad'!$I26*'FE Sectorial'!$H29*'FE Sectorial'!M29/1000/1000</f>
        <v>13.656289830508474</v>
      </c>
      <c r="M30" s="17">
        <f>'Datos Actividad'!$I26*'FE Sectorial'!$H29*'FE Sectorial'!N29/1000/1000</f>
        <v>3.4140724576271184</v>
      </c>
      <c r="N30" s="17">
        <f>'Datos Actividad'!$I26*'FE Sectorial'!$H29*'FE Sectorial'!O29/1000/1000</f>
        <v>653.70224576271187</v>
      </c>
      <c r="O30" s="87">
        <f>IF(D30&lt;400,H30+I30*'Factores generales'!$M$41+J30*'Factores generales'!$N$41,I30*'Factores generales'!$M$41+J30*'Factores generales'!$N$41)</f>
        <v>63634.213723220339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Actividad'!$I27*'FE Sectorial'!$H30*'FE Sectorial'!I30*'FE Sectorial'!P30/1000</f>
        <v>3154.436999999999</v>
      </c>
      <c r="I31" s="17">
        <f>'Datos Actividad'!$I27*'FE Sectorial'!$H30*'FE Sectorial'!J30/1000/1000</f>
        <v>0.12899999999999998</v>
      </c>
      <c r="J31" s="17">
        <f>'Datos Actividad'!$I27*'FE Sectorial'!$H30*'FE Sectorial'!K30/1000/1000</f>
        <v>2.5799999999999997E-2</v>
      </c>
      <c r="K31" s="17">
        <f>'Datos Actividad'!$I27*'FE Sectorial'!$H30*'FE Sectorial'!L30/1000/1000</f>
        <v>8.5999999999999979</v>
      </c>
      <c r="L31" s="17">
        <f>'Datos Actividad'!$I27*'FE Sectorial'!$H30*'FE Sectorial'!M30/1000/1000</f>
        <v>0.64499999999999991</v>
      </c>
      <c r="M31" s="17">
        <f>'Datos Actividad'!$I27*'FE Sectorial'!$H30*'FE Sectorial'!N30/1000/1000</f>
        <v>0.21499999999999997</v>
      </c>
      <c r="N31" s="17">
        <f>'Datos Actividad'!$I27*'FE Sectorial'!$H30*'FE Sectorial'!O30/1000/1000</f>
        <v>1.5599999999999998</v>
      </c>
      <c r="O31" s="87">
        <f>IF(D31&lt;400,H31+I31*'Factores generales'!$M$41+J31*'Factores generales'!$N$41,I31*'Factores generales'!$M$41+J31*'Factores generales'!$N$41)</f>
        <v>3165.1439999999989</v>
      </c>
    </row>
    <row r="32" spans="1:15" outlineLevel="1" x14ac:dyDescent="0.25">
      <c r="B32" s="1" t="s">
        <v>6</v>
      </c>
      <c r="G32" s="1"/>
      <c r="H32" s="17">
        <f>H33+H34+H35</f>
        <v>9679414.6658852287</v>
      </c>
      <c r="I32" s="17">
        <f t="shared" ref="I32:O32" si="9">I33+I34+I35</f>
        <v>173.69443465199996</v>
      </c>
      <c r="J32" s="17">
        <f t="shared" si="9"/>
        <v>17.420765330400002</v>
      </c>
      <c r="K32" s="17">
        <f t="shared" si="9"/>
        <v>26011.396976799999</v>
      </c>
      <c r="L32" s="17">
        <f t="shared" si="9"/>
        <v>3466.1904132600002</v>
      </c>
      <c r="M32" s="17">
        <f t="shared" si="9"/>
        <v>866.76144441999998</v>
      </c>
      <c r="N32" s="17">
        <f t="shared" si="9"/>
        <v>23.701080000000005</v>
      </c>
      <c r="O32" s="17">
        <f t="shared" si="9"/>
        <v>9688462.6862653438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Actividad'!$I29*'FE Sectorial'!$H32*'FE Sectorial'!I32*'FE Sectorial'!P32/1000</f>
        <v>9666888.8865120001</v>
      </c>
      <c r="I33" s="17">
        <f>'Datos Actividad'!$I29*'FE Sectorial'!$H32*'FE Sectorial'!J32/1000/1000</f>
        <v>173.18121599999998</v>
      </c>
      <c r="J33" s="17">
        <f>'Datos Actividad'!$I29*'FE Sectorial'!$H32*'FE Sectorial'!K32/1000/1000</f>
        <v>17.318121600000001</v>
      </c>
      <c r="K33" s="17">
        <f>'Datos Actividad'!$I29*'FE Sectorial'!$H32*'FE Sectorial'!L32/1000/1000</f>
        <v>25977.182399999998</v>
      </c>
      <c r="L33" s="17">
        <f>'Datos Actividad'!$I29*'FE Sectorial'!$H32*'FE Sectorial'!M32/1000/1000</f>
        <v>3463.6243199999999</v>
      </c>
      <c r="M33" s="17">
        <f>'Datos Actividad'!$I29*'FE Sectorial'!$H32*'FE Sectorial'!N32/1000/1000</f>
        <v>865.90607999999997</v>
      </c>
      <c r="N33" s="17">
        <f>'Datos Actividad'!$I29*'FE Sectorial'!$H32*'FE Sectorial'!O32/1000/1000</f>
        <v>0</v>
      </c>
      <c r="O33" s="87">
        <f>IF(D33&lt;400,H33+I33*'Factores generales'!$M$41+J33*'Factores generales'!$N$41,I33*'Factores generales'!$M$41+J33*'Factores generales'!$N$41)</f>
        <v>9675894.3097440004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Actividad'!$I30*'FE Sectorial'!$H33*'FE Sectorial'!I33*'FE Sectorial'!P33/1000</f>
        <v>10330.781175</v>
      </c>
      <c r="I34" s="17">
        <f>'Datos Actividad'!$I30*'FE Sectorial'!$H33*'FE Sectorial'!J33/1000/1000</f>
        <v>0.42247500000000004</v>
      </c>
      <c r="J34" s="17">
        <f>'Datos Actividad'!$I30*'FE Sectorial'!$H33*'FE Sectorial'!K33/1000/1000</f>
        <v>8.4495000000000001E-2</v>
      </c>
      <c r="K34" s="17">
        <f>'Datos Actividad'!$I30*'FE Sectorial'!$H33*'FE Sectorial'!L33/1000/1000</f>
        <v>28.164999999999999</v>
      </c>
      <c r="L34" s="17">
        <f>'Datos Actividad'!$I30*'FE Sectorial'!$H33*'FE Sectorial'!M33/1000/1000</f>
        <v>2.1123750000000001</v>
      </c>
      <c r="M34" s="17">
        <f>'Datos Actividad'!$I30*'FE Sectorial'!$H33*'FE Sectorial'!N33/1000/1000</f>
        <v>0.704125</v>
      </c>
      <c r="N34" s="17">
        <f>'Datos Actividad'!$I30*'FE Sectorial'!$H33*'FE Sectorial'!O33/1000/1000</f>
        <v>5.109</v>
      </c>
      <c r="O34" s="87">
        <f>IF(D34&lt;400,H34+I34*'Factores generales'!$M$41+J34*'Factores generales'!$N$41,I34*'Factores generales'!$M$41+J34*'Factores generales'!$N$41)</f>
        <v>10365.846600000001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Actividad'!$I31*'FE Sectorial'!$H34*'FE Sectorial'!I34*'FE Sectorial'!P34/1000</f>
        <v>2194.9981982280001</v>
      </c>
      <c r="I35" s="17">
        <f>'Datos Actividad'!$I31*'FE Sectorial'!$H34*'FE Sectorial'!J34/1000/1000</f>
        <v>9.0743651999999994E-2</v>
      </c>
      <c r="J35" s="17">
        <f>'Datos Actividad'!$I31*'FE Sectorial'!$H34*'FE Sectorial'!K34/1000/1000</f>
        <v>1.8148730399999997E-2</v>
      </c>
      <c r="K35" s="17">
        <f>'Datos Actividad'!$I31*'FE Sectorial'!$H34*'FE Sectorial'!L34/1000/1000</f>
        <v>6.0495767999999996</v>
      </c>
      <c r="L35" s="17">
        <f>'Datos Actividad'!$I31*'FE Sectorial'!$H34*'FE Sectorial'!M34/1000/1000</f>
        <v>0.45371825999999993</v>
      </c>
      <c r="M35" s="17">
        <f>'Datos Actividad'!$I31*'FE Sectorial'!$H34*'FE Sectorial'!N34/1000/1000</f>
        <v>0.15123941999999999</v>
      </c>
      <c r="N35" s="17">
        <f>'Datos Actividad'!$I31*'FE Sectorial'!$H34*'FE Sectorial'!O34/1000/1000</f>
        <v>18.592080000000003</v>
      </c>
      <c r="O35" s="87">
        <f>IF(D35&lt;400,H35+I35*'Factores generales'!$M$41+J35*'Factores generales'!$N$41,I35*'Factores generales'!$M$41+J35*'Factores generales'!$N$41)</f>
        <v>2202.5299213439998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23323583.702115066</v>
      </c>
      <c r="I36" s="129">
        <f t="shared" si="10"/>
        <v>3680.4700638183258</v>
      </c>
      <c r="J36" s="129">
        <f t="shared" si="10"/>
        <v>503.26589064329443</v>
      </c>
      <c r="K36" s="129">
        <f t="shared" si="10"/>
        <v>68895.787911027364</v>
      </c>
      <c r="L36" s="129">
        <f t="shared" si="10"/>
        <v>420352.96040282468</v>
      </c>
      <c r="M36" s="129">
        <f t="shared" si="10"/>
        <v>7484.0020332465347</v>
      </c>
      <c r="N36" s="129">
        <f t="shared" si="10"/>
        <v>6635.8713172316766</v>
      </c>
      <c r="O36" s="129">
        <f t="shared" si="10"/>
        <v>23556885.999554671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6585964.0966931619</v>
      </c>
      <c r="I37" s="134">
        <f t="shared" ref="I37:O37" si="11">SUM(I38:I44)</f>
        <v>75.594001528575916</v>
      </c>
      <c r="J37" s="134">
        <f t="shared" si="11"/>
        <v>24.270948929231864</v>
      </c>
      <c r="K37" s="134">
        <f t="shared" si="11"/>
        <v>13087.44713104077</v>
      </c>
      <c r="L37" s="134">
        <f t="shared" si="11"/>
        <v>3684.4357912607857</v>
      </c>
      <c r="M37" s="134">
        <f t="shared" si="11"/>
        <v>555.04697581831829</v>
      </c>
      <c r="N37" s="134">
        <f t="shared" si="11"/>
        <v>29.587119999999995</v>
      </c>
      <c r="O37" s="134">
        <f t="shared" si="11"/>
        <v>6595075.5648933239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Actividad'!$I34*'FE Sectorial'!$H37*'FE Sectorial'!I37*'FE Sectorial'!P37/1000</f>
        <v>2658095.8451902801</v>
      </c>
      <c r="I38" s="17">
        <f>'Datos Actividad'!$I34*'FE Sectorial'!$H37*'FE Sectorial'!J37/1000/1000</f>
        <v>47.619485040000001</v>
      </c>
      <c r="J38" s="17">
        <f>'Datos Actividad'!$I34*'FE Sectorial'!$H37*'FE Sectorial'!K37/1000/1000</f>
        <v>4.7619485040000002</v>
      </c>
      <c r="K38" s="17">
        <f>'Datos Actividad'!$I34*'FE Sectorial'!$H37*'FE Sectorial'!L37/1000/1000</f>
        <v>7142.9227559999999</v>
      </c>
      <c r="L38" s="17">
        <f>'Datos Actividad'!$I34*'FE Sectorial'!$H37*'FE Sectorial'!M37/1000/1000</f>
        <v>1428.5845512000001</v>
      </c>
      <c r="M38" s="17">
        <f>'Datos Actividad'!$I34*'FE Sectorial'!$H37*'FE Sectorial'!N37/1000/1000</f>
        <v>238.0974252</v>
      </c>
      <c r="N38" s="17">
        <f>'Datos Actividad'!$I34*'FE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2660572.05841236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Actividad'!$I35*'FE Sectorial'!$H38*'FE Sectorial'!I38*'FE Sectorial'!P38/1000</f>
        <v>2518954.999456896</v>
      </c>
      <c r="I39" s="17">
        <f>'Datos Actividad'!$I35*'FE Sectorial'!$H38*'FE Sectorial'!J38/1000/1000</f>
        <v>9.7369733260800011</v>
      </c>
      <c r="J39" s="17">
        <f>'Datos Actividad'!$I35*'FE Sectorial'!$H38*'FE Sectorial'!K38/1000/1000</f>
        <v>0.97369733260800007</v>
      </c>
      <c r="K39" s="17">
        <f>'Datos Actividad'!$I35*'FE Sectorial'!$H38*'FE Sectorial'!L38/1000/1000</f>
        <v>1460.545998912</v>
      </c>
      <c r="L39" s="17">
        <f>'Datos Actividad'!$I35*'FE Sectorial'!$H38*'FE Sectorial'!M38/1000/1000</f>
        <v>292.10919978239997</v>
      </c>
      <c r="M39" s="17">
        <f>'Datos Actividad'!$I35*'FE Sectorial'!$H38*'FE Sectorial'!N38/1000/1000</f>
        <v>48.684866630400002</v>
      </c>
      <c r="N39" s="17">
        <f>'Datos Actividad'!$I35*'FE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2519461.3220698521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Actividad'!$I36*'FE Sectorial'!$H39*'FE Sectorial'!I39*'FE Sectorial'!P39/1000</f>
        <v>259956.5855552424</v>
      </c>
      <c r="I40" s="17">
        <f>'Datos Actividad'!$I36*'FE Sectorial'!$H39*'FE Sectorial'!J39/1000/1000</f>
        <v>5.8842995508000007</v>
      </c>
      <c r="J40" s="17">
        <f>'Datos Actividad'!$I36*'FE Sectorial'!$H39*'FE Sectorial'!K39/1000/1000</f>
        <v>0.58842995508000018</v>
      </c>
      <c r="K40" s="17">
        <f>'Datos Actividad'!$I36*'FE Sectorial'!$H39*'FE Sectorial'!L39/1000/1000</f>
        <v>882.64493261999996</v>
      </c>
      <c r="L40" s="17">
        <f>'Datos Actividad'!$I36*'FE Sectorial'!$H39*'FE Sectorial'!M39/1000/1000</f>
        <v>176.528986524</v>
      </c>
      <c r="M40" s="17">
        <f>'Datos Actividad'!$I36*'FE Sectorial'!$H39*'FE Sectorial'!N39/1000/1000</f>
        <v>29.421497754000001</v>
      </c>
      <c r="N40" s="17">
        <f>'Datos Actividad'!$I36*'FE Sectorial'!$H39*'FE Sectorial'!O39/1000/1000</f>
        <v>0</v>
      </c>
      <c r="O40" s="87">
        <f>IF(D40&lt;400,H40+I40*'Factores generales'!$M$41+J40*'Factores generales'!$N$41,I40*'Factores generales'!$M$41+J40*'Factores generales'!$N$41)</f>
        <v>260262.569131884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Actividad'!$I37*'FE Sectorial'!$H40*'FE Sectorial'!I40*'FE Sectorial'!P40/1000</f>
        <v>6.3088739999999985</v>
      </c>
      <c r="I41" s="17">
        <f>'Datos Actividad'!$I37*'FE Sectorial'!$H40*'FE Sectorial'!J40/1000/1000</f>
        <v>2.5799999999999993E-4</v>
      </c>
      <c r="J41" s="17">
        <f>'Datos Actividad'!$I37*'FE Sectorial'!$H40*'FE Sectorial'!K40/1000/1000</f>
        <v>5.1599999999999987E-5</v>
      </c>
      <c r="K41" s="17">
        <f>'Datos Actividad'!$I37*'FE Sectorial'!$H40*'FE Sectorial'!L40/1000/1000</f>
        <v>1.7199999999999997E-2</v>
      </c>
      <c r="L41" s="17">
        <f>'Datos Actividad'!$I37*'FE Sectorial'!$H40*'FE Sectorial'!M40/1000/1000</f>
        <v>8.5999999999999987E-4</v>
      </c>
      <c r="M41" s="17">
        <f>'Datos Actividad'!$I37*'FE Sectorial'!$H40*'FE Sectorial'!N40/1000/1000</f>
        <v>4.2999999999999994E-4</v>
      </c>
      <c r="N41" s="17">
        <f>'Datos Actividad'!$I37*'FE Sectorial'!$H40*'FE Sectorial'!O40/1000/1000</f>
        <v>3.1199999999999995E-3</v>
      </c>
      <c r="O41" s="87">
        <f>IF(D41&lt;400,H41+I41*'Factores generales'!$M$41+J41*'Factores generales'!$N$41,I41*'Factores generales'!$M$41+J41*'Factores generales'!$N$41)</f>
        <v>6.3302879999999986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Actividad'!$I38*'FE Sectorial'!$H41*'FE Sectorial'!I41*'FE Sectorial'!P41/1000</f>
        <v>11447.8630992</v>
      </c>
      <c r="I42" s="17">
        <f>'Datos Actividad'!$I38*'FE Sectorial'!$H41*'FE Sectorial'!J41/1000/1000</f>
        <v>0.44819759999999997</v>
      </c>
      <c r="J42" s="17">
        <f>'Datos Actividad'!$I38*'FE Sectorial'!$H41*'FE Sectorial'!K41/1000/1000</f>
        <v>8.9639519999999986E-2</v>
      </c>
      <c r="K42" s="17">
        <f>'Datos Actividad'!$I38*'FE Sectorial'!$H41*'FE Sectorial'!L41/1000/1000</f>
        <v>29.879839999999998</v>
      </c>
      <c r="L42" s="17">
        <f>'Datos Actividad'!$I38*'FE Sectorial'!$H41*'FE Sectorial'!M41/1000/1000</f>
        <v>1.4939919999999998</v>
      </c>
      <c r="M42" s="17">
        <f>'Datos Actividad'!$I38*'FE Sectorial'!$H41*'FE Sectorial'!N41/1000/1000</f>
        <v>0.74699599999999988</v>
      </c>
      <c r="N42" s="17">
        <f>'Datos Actividad'!$I38*'FE Sectorial'!$H41*'FE Sectorial'!O41/1000/1000</f>
        <v>29.583999999999996</v>
      </c>
      <c r="O42" s="87">
        <f>IF(D42&lt;400,H42+I42*'Factores generales'!$M$41+J42*'Factores generales'!$N$41,I42*'Factores generales'!$M$41+J42*'Factores generales'!$N$41)</f>
        <v>11485.0635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Actividad'!$I39*'FE Sectorial'!$H42*'FE Sectorial'!I42*'FE Sectorial'!P42/1000</f>
        <v>563870.72368421056</v>
      </c>
      <c r="I43" s="17">
        <f>'Datos Actividad'!$I39*'FE Sectorial'!$H42*'FE Sectorial'!J42/1000/1000</f>
        <v>5.9013157894736841</v>
      </c>
      <c r="J43" s="17">
        <f>'Datos Actividad'!$I39*'FE Sectorial'!$H42*'FE Sectorial'!K42/1000/1000</f>
        <v>8.8519736842105292</v>
      </c>
      <c r="K43" s="17">
        <f>'Datos Actividad'!$I39*'FE Sectorial'!$H42*'FE Sectorial'!L42/1000/1000</f>
        <v>1770.3947368421054</v>
      </c>
      <c r="L43" s="17">
        <f>'Datos Actividad'!$I39*'FE Sectorial'!$H42*'FE Sectorial'!M42/1000/1000</f>
        <v>885.19736842105272</v>
      </c>
      <c r="M43" s="17">
        <f>'Datos Actividad'!$I39*'FE Sectorial'!$H42*'FE Sectorial'!N42/1000/1000</f>
        <v>118.02631578947368</v>
      </c>
      <c r="N43" s="17">
        <f>'Datos Actividad'!$I39*'FE Sectorial'!$H42*'FE Sectorial'!O42/1000/1000</f>
        <v>0</v>
      </c>
      <c r="O43" s="87">
        <f>IF(D43&lt;400,H43+I43*'Factores generales'!$M$41+J43*'Factores generales'!$N$41,I43*'Factores generales'!$M$41+J43*'Factores generales'!$N$41)</f>
        <v>566738.76315789483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Actividad'!$I40*'FE Sectorial'!$H43*'FE Sectorial'!I43*'FE Sectorial'!P43/1000</f>
        <v>573631.77083333326</v>
      </c>
      <c r="I44" s="17">
        <f>'Datos Actividad'!$I40*'FE Sectorial'!$H43*'FE Sectorial'!J43/1000/1000</f>
        <v>6.0034722222222214</v>
      </c>
      <c r="J44" s="17">
        <f>'Datos Actividad'!$I40*'FE Sectorial'!$H43*'FE Sectorial'!K43/1000/1000</f>
        <v>9.0052083333333339</v>
      </c>
      <c r="K44" s="17">
        <f>'Datos Actividad'!$I40*'FE Sectorial'!$H43*'FE Sectorial'!L43/1000/1000</f>
        <v>1801.0416666666665</v>
      </c>
      <c r="L44" s="17">
        <f>'Datos Actividad'!$I40*'FE Sectorial'!$H43*'FE Sectorial'!M43/1000/1000</f>
        <v>900.52083333333326</v>
      </c>
      <c r="M44" s="17">
        <f>'Datos Actividad'!$I40*'FE Sectorial'!$H43*'FE Sectorial'!N43/1000/1000</f>
        <v>120.06944444444446</v>
      </c>
      <c r="N44" s="17">
        <f>'Datos Actividad'!$I40*'FE Sectorial'!$H43*'FE Sectorial'!O43/1000/1000</f>
        <v>0</v>
      </c>
      <c r="O44" s="87">
        <f>IF(D44&lt;400,H44+I44*'Factores generales'!$M$41+J44*'Factores generales'!$N$41,I44*'Factores generales'!$M$41+J44*'Factores generales'!$N$41)</f>
        <v>576549.45833333326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923008.72950158396</v>
      </c>
      <c r="I45" s="134">
        <f t="shared" ref="I45:O45" si="12">I46</f>
        <v>16.535596512000001</v>
      </c>
      <c r="J45" s="134">
        <f t="shared" si="12"/>
        <v>1.6535596512000001</v>
      </c>
      <c r="K45" s="134">
        <f t="shared" si="12"/>
        <v>2480.3394768000003</v>
      </c>
      <c r="L45" s="134">
        <f t="shared" si="12"/>
        <v>496.06789536000002</v>
      </c>
      <c r="M45" s="134">
        <f t="shared" si="12"/>
        <v>82.677982560000004</v>
      </c>
      <c r="N45" s="134">
        <f t="shared" si="12"/>
        <v>0</v>
      </c>
      <c r="O45" s="134">
        <f t="shared" si="12"/>
        <v>923868.58052020788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Actividad'!$I42*'FE Sectorial'!$H45*'FE Sectorial'!I45*'FE Sectorial'!P45/1000</f>
        <v>923008.72950158396</v>
      </c>
      <c r="I46" s="17">
        <f>'Datos Actividad'!$I42*'FE Sectorial'!$H45*'FE Sectorial'!J45/1000/1000</f>
        <v>16.535596512000001</v>
      </c>
      <c r="J46" s="17">
        <f>'Datos Actividad'!$I42*'FE Sectorial'!$H45*'FE Sectorial'!K45/1000/1000</f>
        <v>1.6535596512000001</v>
      </c>
      <c r="K46" s="17">
        <f>'Datos Actividad'!$I42*'FE Sectorial'!$H45*'FE Sectorial'!L45/1000/1000</f>
        <v>2480.3394768000003</v>
      </c>
      <c r="L46" s="17">
        <f>'Datos Actividad'!$I42*'FE Sectorial'!$H45*'FE Sectorial'!M45/1000/1000</f>
        <v>496.06789536000002</v>
      </c>
      <c r="M46" s="17">
        <f>'Datos Actividad'!$I42*'FE Sectorial'!$H45*'FE Sectorial'!N45/1000/1000</f>
        <v>82.677982560000004</v>
      </c>
      <c r="N46" s="17">
        <f>'Datos Actividad'!$I42*'FE Sectorial'!$H45*'FE Sectorial'!O45/1000/1000</f>
        <v>0</v>
      </c>
      <c r="O46" s="87">
        <f>IF(D46&lt;400,H46+I46*'Factores generales'!$M$41+J46*'Factores generales'!$N$41,I46*'Factores generales'!$M$41+J46*'Factores generales'!$N$41)</f>
        <v>923868.58052020788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1006309.268875548</v>
      </c>
      <c r="I47" s="134">
        <f t="shared" ref="I47:O47" si="13">SUM(I48:I55)</f>
        <v>119.39798736506364</v>
      </c>
      <c r="J47" s="134">
        <f t="shared" si="13"/>
        <v>15.335288067291819</v>
      </c>
      <c r="K47" s="134">
        <f t="shared" si="13"/>
        <v>3038.3572843035454</v>
      </c>
      <c r="L47" s="134">
        <f t="shared" si="13"/>
        <v>14043.00294138682</v>
      </c>
      <c r="M47" s="134">
        <f t="shared" si="13"/>
        <v>258.72721374677269</v>
      </c>
      <c r="N47" s="134">
        <f t="shared" si="13"/>
        <v>12.160947999999999</v>
      </c>
      <c r="O47" s="134">
        <f t="shared" si="13"/>
        <v>1013570.5659110749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Actividad'!$I44*'FE Sectorial'!$H47*'FE Sectorial'!I47*'FE Sectorial'!P47/1000</f>
        <v>977611.81810248003</v>
      </c>
      <c r="I48" s="17">
        <f>'Datos Actividad'!$I44*'FE Sectorial'!$H47*'FE Sectorial'!J47/1000/1000</f>
        <v>17.513804640000004</v>
      </c>
      <c r="J48" s="17">
        <f>'Datos Actividad'!$I44*'FE Sectorial'!$H47*'FE Sectorial'!K47/1000/1000</f>
        <v>1.7513804640000001</v>
      </c>
      <c r="K48" s="17">
        <f>'Datos Actividad'!$I44*'FE Sectorial'!$H47*'FE Sectorial'!L47/1000/1000</f>
        <v>2627.0706959999998</v>
      </c>
      <c r="L48" s="17">
        <f>'Datos Actividad'!$I44*'FE Sectorial'!$H47*'FE Sectorial'!M47/1000/1000</f>
        <v>525.41413920000014</v>
      </c>
      <c r="M48" s="17">
        <f>'Datos Actividad'!$I44*'FE Sectorial'!$H47*'FE Sectorial'!N47/1000/1000</f>
        <v>87.56902319999999</v>
      </c>
      <c r="N48" s="17">
        <f>'Datos Actividad'!$I44*'FE Sectorial'!$H47*'FE Sectorial'!O47/1000/1000</f>
        <v>0</v>
      </c>
      <c r="O48" s="87">
        <f>IF(D48&lt;400,H48+I48*'Factores generales'!$M$41+J48*'Factores generales'!$N$41,I48*'Factores generales'!$M$41+J48*'Factores generales'!$N$41)</f>
        <v>978522.53594376007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Actividad'!$I45*'FE Sectorial'!$H48*'FE Sectorial'!I48*'FE Sectorial'!P48/1000</f>
        <v>17029.882626767998</v>
      </c>
      <c r="I49" s="17">
        <f>'Datos Actividad'!$I45*'FE Sectorial'!$H48*'FE Sectorial'!J48/1000/1000</f>
        <v>0.29714340149999996</v>
      </c>
      <c r="J49" s="17">
        <f>'Datos Actividad'!$I45*'FE Sectorial'!$H48*'FE Sectorial'!K48/1000/1000</f>
        <v>2.9714340150000001E-2</v>
      </c>
      <c r="K49" s="17">
        <f>'Datos Actividad'!$I45*'FE Sectorial'!$H48*'FE Sectorial'!L48/1000/1000</f>
        <v>44.57151022499999</v>
      </c>
      <c r="L49" s="17">
        <f>'Datos Actividad'!$I45*'FE Sectorial'!$H48*'FE Sectorial'!M48/1000/1000</f>
        <v>8.9143020450000012</v>
      </c>
      <c r="M49" s="17">
        <f>'Datos Actividad'!$I45*'FE Sectorial'!$H48*'FE Sectorial'!N48/1000/1000</f>
        <v>1.4857170074999999</v>
      </c>
      <c r="N49" s="17">
        <f>'Datos Actividad'!$I45*'FE Sectorial'!$H48*'FE Sectorial'!O48/1000/1000</f>
        <v>0</v>
      </c>
      <c r="O49" s="87">
        <f>IF(D49&lt;400,H49+I49*'Factores generales'!$M$41+J49*'Factores generales'!$N$41,I49*'Factores generales'!$M$41+J49*'Factores generales'!$N$41)</f>
        <v>17045.334083645997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Actividad'!$I46*'FE Sectorial'!$H49*'FE Sectorial'!I49*'FE Sectorial'!P49/1000</f>
        <v>467.8030071</v>
      </c>
      <c r="I50" s="17">
        <f>'Datos Actividad'!$I46*'FE Sectorial'!$H49*'FE Sectorial'!J49/1000/1000</f>
        <v>1.91307E-2</v>
      </c>
      <c r="J50" s="17">
        <f>'Datos Actividad'!$I46*'FE Sectorial'!$H49*'FE Sectorial'!K49/1000/1000</f>
        <v>3.8261400000000004E-3</v>
      </c>
      <c r="K50" s="17">
        <f>'Datos Actividad'!$I46*'FE Sectorial'!$H49*'FE Sectorial'!L49/1000/1000</f>
        <v>1.2753800000000002</v>
      </c>
      <c r="L50" s="17">
        <f>'Datos Actividad'!$I46*'FE Sectorial'!$H49*'FE Sectorial'!M49/1000/1000</f>
        <v>6.3769000000000006E-2</v>
      </c>
      <c r="M50" s="17">
        <f>'Datos Actividad'!$I46*'FE Sectorial'!$H49*'FE Sectorial'!N49/1000/1000</f>
        <v>3.1884500000000003E-2</v>
      </c>
      <c r="N50" s="17">
        <f>'Datos Actividad'!$I46*'FE Sectorial'!$H49*'FE Sectorial'!O49/1000/1000</f>
        <v>0.23134800000000005</v>
      </c>
      <c r="O50" s="87">
        <f>IF(D50&lt;400,H50+I50*'Factores generales'!$M$41+J50*'Factores generales'!$N$41,I50*'Factores generales'!$M$41+J50*'Factores generales'!$N$41)</f>
        <v>469.39085519999998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Actividad'!$I47*'FE Sectorial'!$H50*'FE Sectorial'!I50*'FE Sectorial'!P50/1000</f>
        <v>6760.5451055999993</v>
      </c>
      <c r="I51" s="17">
        <f>'Datos Actividad'!$I47*'FE Sectorial'!$H50*'FE Sectorial'!J50/1000/1000</f>
        <v>0.1082224</v>
      </c>
      <c r="J51" s="17">
        <f>'Datos Actividad'!$I47*'FE Sectorial'!$H50*'FE Sectorial'!K50/1000/1000</f>
        <v>1.0822239999999999E-2</v>
      </c>
      <c r="K51" s="17">
        <f>'Datos Actividad'!$I47*'FE Sectorial'!$H50*'FE Sectorial'!L50/1000/1000</f>
        <v>16.233360000000001</v>
      </c>
      <c r="L51" s="17">
        <f>'Datos Actividad'!$I47*'FE Sectorial'!$H50*'FE Sectorial'!M50/1000/1000</f>
        <v>3.2466720000000002</v>
      </c>
      <c r="M51" s="17">
        <f>'Datos Actividad'!$I47*'FE Sectorial'!$H50*'FE Sectorial'!N50/1000/1000</f>
        <v>0.54111199999999993</v>
      </c>
      <c r="N51" s="17">
        <f>'Datos Actividad'!$I47*'FE Sectorial'!$H50*'FE Sectorial'!O50/1000/1000</f>
        <v>0.45760000000000006</v>
      </c>
      <c r="O51" s="87">
        <f>IF(D51&lt;400,H51+I51*'Factores generales'!$M$41+J51*'Factores generales'!$N$41,I51*'Factores generales'!$M$41+J51*'Factores generales'!$N$41)</f>
        <v>6766.1726703999993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Actividad'!$I48*'FE Sectorial'!$H51*'FE Sectorial'!I51*'FE Sectorial'!P51/1000</f>
        <v>4439.2200336000005</v>
      </c>
      <c r="I52" s="17">
        <f>'Datos Actividad'!$I48*'FE Sectorial'!$H51*'FE Sectorial'!J51/1000/1000</f>
        <v>0.17380079999999998</v>
      </c>
      <c r="J52" s="17">
        <f>'Datos Actividad'!$I48*'FE Sectorial'!$H51*'FE Sectorial'!K51/1000/1000</f>
        <v>3.4760159999999998E-2</v>
      </c>
      <c r="K52" s="17">
        <f>'Datos Actividad'!$I48*'FE Sectorial'!$H51*'FE Sectorial'!L51/1000/1000</f>
        <v>11.58672</v>
      </c>
      <c r="L52" s="17">
        <f>'Datos Actividad'!$I48*'FE Sectorial'!$H51*'FE Sectorial'!M51/1000/1000</f>
        <v>0.57933599999999996</v>
      </c>
      <c r="M52" s="17">
        <f>'Datos Actividad'!$I48*'FE Sectorial'!$H51*'FE Sectorial'!N51/1000/1000</f>
        <v>0.28966799999999998</v>
      </c>
      <c r="N52" s="17">
        <f>'Datos Actividad'!$I48*'FE Sectorial'!$H51*'FE Sectorial'!O51/1000/1000</f>
        <v>11.472</v>
      </c>
      <c r="O52" s="87">
        <f>IF(D52&lt;400,H52+I52*'Factores generales'!$M$41+J52*'Factores generales'!$N$41,I52*'Factores generales'!$M$41+J52*'Factores generales'!$N$41)</f>
        <v>4453.6455000000005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Actividad'!$I49*'FE Sectorial'!$H52*'FE Sectorial'!I52*'FE Sectorial'!P52/1000</f>
        <v>293729.06772833457</v>
      </c>
      <c r="I53" s="17">
        <f>'Datos Actividad'!$I49*'FE Sectorial'!$H52*'FE Sectorial'!J52/1000/1000</f>
        <v>101.28588542356364</v>
      </c>
      <c r="J53" s="17">
        <f>'Datos Actividad'!$I49*'FE Sectorial'!$H52*'FE Sectorial'!K52/1000/1000</f>
        <v>13.504784723141819</v>
      </c>
      <c r="K53" s="17">
        <f>'Datos Actividad'!$I49*'FE Sectorial'!$H52*'FE Sectorial'!L52/1000/1000</f>
        <v>337.61961807854544</v>
      </c>
      <c r="L53" s="17">
        <f>'Datos Actividad'!$I49*'FE Sectorial'!$H52*'FE Sectorial'!M52/1000/1000</f>
        <v>13504.78472314182</v>
      </c>
      <c r="M53" s="17">
        <f>'Datos Actividad'!$I49*'FE Sectorial'!$H52*'FE Sectorial'!N52/1000/1000</f>
        <v>168.80980903927272</v>
      </c>
      <c r="N53" s="17">
        <f>'Datos Actividad'!$I49*'FE Sectorial'!$H52*'FE Sectorial'!O52/1000/1000</f>
        <v>0</v>
      </c>
      <c r="O53" s="87">
        <f>IF(D53&lt;400,H53+I53*'Factores generales'!$M$41+J53*'Factores generales'!$N$41,I53*'Factores generales'!$M$41+J53*'Factores generales'!$N$41)</f>
        <v>6313.4868580687998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Actividad'!$I50*'FE Sectorial'!$H53*'FE Sectorial'!I53*'FE Sectorial'!P53/1000</f>
        <v>0</v>
      </c>
      <c r="I54" s="17">
        <f>'Datos Actividad'!$I50*'FE Sectorial'!$H53*'FE Sectorial'!J53/1000/1000</f>
        <v>0</v>
      </c>
      <c r="J54" s="17">
        <f>'Datos Actividad'!$I50*'FE Sectorial'!$H53*'FE Sectorial'!K53/1000/1000</f>
        <v>0</v>
      </c>
      <c r="K54" s="17">
        <f>'Datos Actividad'!$I50*'FE Sectorial'!$H53*'FE Sectorial'!L53/1000/1000</f>
        <v>0</v>
      </c>
      <c r="L54" s="17">
        <f>'Datos Actividad'!$I50*'FE Sectorial'!$H53*'FE Sectorial'!M53/1000/1000</f>
        <v>0</v>
      </c>
      <c r="M54" s="17">
        <f>'Datos Actividad'!$I50*'FE Sectorial'!$H53*'FE Sectorial'!N53/1000/1000</f>
        <v>0</v>
      </c>
      <c r="N54" s="17">
        <f>'Datos Actividad'!$I50*'FE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Actividad'!$I51*'FE Sectorial'!$H54*'FE Sectorial'!I54*'FE Sectorial'!P54/1000</f>
        <v>0</v>
      </c>
      <c r="I55" s="17">
        <f>'Datos Actividad'!$I51*'FE Sectorial'!$H54*'FE Sectorial'!J54/1000/1000</f>
        <v>0</v>
      </c>
      <c r="J55" s="17">
        <f>'Datos Actividad'!$I51*'FE Sectorial'!$H54*'FE Sectorial'!K54/1000/1000</f>
        <v>0</v>
      </c>
      <c r="K55" s="17">
        <f>'Datos Actividad'!$I51*'FE Sectorial'!$H54*'FE Sectorial'!L54/1000/1000</f>
        <v>0</v>
      </c>
      <c r="L55" s="17">
        <f>'Datos Actividad'!$I51*'FE Sectorial'!$H54*'FE Sectorial'!M54/1000/1000</f>
        <v>0</v>
      </c>
      <c r="M55" s="17">
        <f>'Datos Actividad'!$I51*'FE Sectorial'!$H54*'FE Sectorial'!N54/1000/1000</f>
        <v>0</v>
      </c>
      <c r="N55" s="17">
        <f>'Datos Actividad'!$I51*'FE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723831.18633460801</v>
      </c>
      <c r="I56" s="134">
        <f>SUM(I57:I62)</f>
        <v>723.11337976756363</v>
      </c>
      <c r="J56" s="134">
        <f t="shared" ref="J56:O56" si="14">SUM(J57:J62)</f>
        <v>96.282410617541814</v>
      </c>
      <c r="K56" s="134">
        <f t="shared" si="14"/>
        <v>4298.4863776785451</v>
      </c>
      <c r="L56" s="134">
        <f t="shared" si="14"/>
        <v>86014.726603461808</v>
      </c>
      <c r="M56" s="134">
        <f t="shared" si="14"/>
        <v>1242.8371867592728</v>
      </c>
      <c r="N56" s="134">
        <f t="shared" si="14"/>
        <v>1363.2836799999998</v>
      </c>
      <c r="O56" s="134">
        <f t="shared" si="14"/>
        <v>768864.11460116471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Actividad'!$I53*'FE Sectorial'!$H56*'FE Sectorial'!I56*'FE Sectorial'!P56/1000</f>
        <v>630451.45292500802</v>
      </c>
      <c r="I57" s="17">
        <f>'Datos Actividad'!$I53*'FE Sectorial'!$H56*'FE Sectorial'!J56/1000/1000</f>
        <v>11.294466143999999</v>
      </c>
      <c r="J57" s="17">
        <f>'Datos Actividad'!$I53*'FE Sectorial'!$H56*'FE Sectorial'!K56/1000/1000</f>
        <v>1.1294466143999999</v>
      </c>
      <c r="K57" s="17">
        <f>'Datos Actividad'!$I53*'FE Sectorial'!$H56*'FE Sectorial'!L56/1000/1000</f>
        <v>1694.1699216</v>
      </c>
      <c r="L57" s="17">
        <f>'Datos Actividad'!$I53*'FE Sectorial'!$H56*'FE Sectorial'!M56/1000/1000</f>
        <v>338.83398432000001</v>
      </c>
      <c r="M57" s="17">
        <f>'Datos Actividad'!$I53*'FE Sectorial'!$H56*'FE Sectorial'!N56/1000/1000</f>
        <v>56.472330719999995</v>
      </c>
      <c r="N57" s="17">
        <f>'Datos Actividad'!$I53*'FE Sectorial'!$H56*'FE Sectorial'!O56/1000/1000</f>
        <v>0</v>
      </c>
      <c r="O57" s="87">
        <f>IF(D57&lt;400,H57+I57*'Factores generales'!$M$41+J57*'Factores generales'!$N$41,I57*'Factores generales'!$M$41+J57*'Factores generales'!$N$41)</f>
        <v>631038.76516449603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Actividad'!$I54*'FE Sectorial'!$H57*'FE Sectorial'!I57*'FE Sectorial'!P57/1000</f>
        <v>403.76793599999991</v>
      </c>
      <c r="I58" s="17">
        <f>'Datos Actividad'!$I54*'FE Sectorial'!$H57*'FE Sectorial'!J57/1000/1000</f>
        <v>1.6511999999999995E-2</v>
      </c>
      <c r="J58" s="17">
        <f>'Datos Actividad'!$I54*'FE Sectorial'!$H57*'FE Sectorial'!K57/1000/1000</f>
        <v>3.3023999999999992E-3</v>
      </c>
      <c r="K58" s="17">
        <f>'Datos Actividad'!$I54*'FE Sectorial'!$H57*'FE Sectorial'!L57/1000/1000</f>
        <v>1.1007999999999998</v>
      </c>
      <c r="L58" s="17">
        <f>'Datos Actividad'!$I54*'FE Sectorial'!$H57*'FE Sectorial'!M57/1000/1000</f>
        <v>5.5039999999999992E-2</v>
      </c>
      <c r="M58" s="17">
        <f>'Datos Actividad'!$I54*'FE Sectorial'!$H57*'FE Sectorial'!N57/1000/1000</f>
        <v>2.7519999999999996E-2</v>
      </c>
      <c r="N58" s="17">
        <f>'Datos Actividad'!$I54*'FE Sectorial'!$H57*'FE Sectorial'!O57/1000/1000</f>
        <v>0.19967999999999997</v>
      </c>
      <c r="O58" s="87">
        <f>IF(D58&lt;400,H58+I58*'Factores generales'!$M$41+J58*'Factores generales'!$N$41,I58*'Factores generales'!$M$41+J58*'Factores generales'!$N$41)</f>
        <v>405.13843199999991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Actividad'!$I55*'FE Sectorial'!$H58*'FE Sectorial'!I58*'FE Sectorial'!P58/1000</f>
        <v>92975.965473599994</v>
      </c>
      <c r="I59" s="17">
        <f>'Datos Actividad'!$I55*'FE Sectorial'!$H58*'FE Sectorial'!J58/1000/1000</f>
        <v>3.6401207999999996</v>
      </c>
      <c r="J59" s="17">
        <f>'Datos Actividad'!$I55*'FE Sectorial'!$H58*'FE Sectorial'!K58/1000/1000</f>
        <v>0.72802415999999992</v>
      </c>
      <c r="K59" s="17">
        <f>'Datos Actividad'!$I55*'FE Sectorial'!$H58*'FE Sectorial'!L58/1000/1000</f>
        <v>242.67471999999998</v>
      </c>
      <c r="L59" s="17">
        <f>'Datos Actividad'!$I55*'FE Sectorial'!$H58*'FE Sectorial'!M58/1000/1000</f>
        <v>12.133735999999999</v>
      </c>
      <c r="M59" s="17">
        <f>'Datos Actividad'!$I55*'FE Sectorial'!$H58*'FE Sectorial'!N58/1000/1000</f>
        <v>6.0668679999999995</v>
      </c>
      <c r="N59" s="17">
        <f>'Datos Actividad'!$I55*'FE Sectorial'!$H58*'FE Sectorial'!O58/1000/1000</f>
        <v>240.27199999999996</v>
      </c>
      <c r="O59" s="87">
        <f>IF(D59&lt;400,H59+I59*'Factores generales'!$M$41+J59*'Factores generales'!$N$41,I59*'Factores generales'!$M$41+J59*'Factores generales'!$N$41)</f>
        <v>93278.095499999981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Actividad'!$I56*'FE Sectorial'!$H59*'FE Sectorial'!I59*'FE Sectorial'!P59/1000</f>
        <v>987290.82305999997</v>
      </c>
      <c r="I60" s="17">
        <f>'Datos Actividad'!$I56*'FE Sectorial'!$H59*'FE Sectorial'!J59/1000/1000</f>
        <v>340.44511139999997</v>
      </c>
      <c r="J60" s="17">
        <f>'Datos Actividad'!$I56*'FE Sectorial'!$H59*'FE Sectorial'!K59/1000/1000</f>
        <v>45.392681519999996</v>
      </c>
      <c r="K60" s="17">
        <f>'Datos Actividad'!$I56*'FE Sectorial'!$H59*'FE Sectorial'!L59/1000/1000</f>
        <v>1134.8170379999999</v>
      </c>
      <c r="L60" s="17">
        <f>'Datos Actividad'!$I56*'FE Sectorial'!$H59*'FE Sectorial'!M59/1000/1000</f>
        <v>45392.681519999998</v>
      </c>
      <c r="M60" s="17">
        <f>'Datos Actividad'!$I56*'FE Sectorial'!$H59*'FE Sectorial'!N59/1000/1000</f>
        <v>567.40851899999996</v>
      </c>
      <c r="N60" s="17">
        <f>'Datos Actividad'!$I56*'FE Sectorial'!$H59*'FE Sectorial'!O59/1000/1000</f>
        <v>0</v>
      </c>
      <c r="O60" s="87">
        <f>IF(D60&lt;400,H60+I60*'Factores generales'!$M$41+J60*'Factores generales'!$N$41,I60*'Factores generales'!$M$41+J60*'Factores generales'!$N$41)</f>
        <v>21221.078610599998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Actividad'!$I57*'FE Sectorial'!$H60*'FE Sectorial'!I60*'FE Sectorial'!P60/1000</f>
        <v>426686.52499199996</v>
      </c>
      <c r="I61" s="17">
        <f>'Datos Actividad'!$I57*'FE Sectorial'!$H60*'FE Sectorial'!J60/1000/1000</f>
        <v>131.36900399999999</v>
      </c>
      <c r="J61" s="17">
        <f>'Datos Actividad'!$I57*'FE Sectorial'!$H60*'FE Sectorial'!K60/1000/1000</f>
        <v>17.515867199999999</v>
      </c>
      <c r="K61" s="17">
        <f>'Datos Actividad'!$I57*'FE Sectorial'!$H60*'FE Sectorial'!L60/1000/1000</f>
        <v>437.89668</v>
      </c>
      <c r="L61" s="17">
        <f>'Datos Actividad'!$I57*'FE Sectorial'!$H60*'FE Sectorial'!M60/1000/1000</f>
        <v>8757.9336000000003</v>
      </c>
      <c r="M61" s="17">
        <f>'Datos Actividad'!$I57*'FE Sectorial'!$H60*'FE Sectorial'!N60/1000/1000</f>
        <v>218.94834</v>
      </c>
      <c r="N61" s="17">
        <f>'Datos Actividad'!$I57*'FE Sectorial'!$H60*'FE Sectorial'!O60/1000/1000</f>
        <v>1122.8119999999999</v>
      </c>
      <c r="O61" s="87">
        <f>IF(D61&lt;400,H61+I61*'Factores generales'!$M$41+J61*'Factores generales'!$N$41,I61*'Factores generales'!$M$41+J61*'Factores generales'!$N$41)</f>
        <v>8188.6679159999985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Actividad'!$I58*'FE Sectorial'!$H61*'FE Sectorial'!I61*'FE Sectorial'!P61/1000</f>
        <v>685409.67972833442</v>
      </c>
      <c r="I62" s="17">
        <f>'Datos Actividad'!$I58*'FE Sectorial'!$H61*'FE Sectorial'!J61/1000/1000</f>
        <v>236.34816542356359</v>
      </c>
      <c r="J62" s="17">
        <f>'Datos Actividad'!$I58*'FE Sectorial'!$H61*'FE Sectorial'!K61/1000/1000</f>
        <v>31.513088723141813</v>
      </c>
      <c r="K62" s="17">
        <f>'Datos Actividad'!$I58*'FE Sectorial'!$H61*'FE Sectorial'!L61/1000/1000</f>
        <v>787.82721807854534</v>
      </c>
      <c r="L62" s="17">
        <f>'Datos Actividad'!$I58*'FE Sectorial'!$H61*'FE Sectorial'!M61/1000/1000</f>
        <v>31513.088723141813</v>
      </c>
      <c r="M62" s="17">
        <f>'Datos Actividad'!$I58*'FE Sectorial'!$H61*'FE Sectorial'!N61/1000/1000</f>
        <v>393.91360903927267</v>
      </c>
      <c r="N62" s="17">
        <f>'Datos Actividad'!$I58*'FE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14732.368978068796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3609624.0210132962</v>
      </c>
      <c r="I63" s="134">
        <f>SUM(I64:I69)</f>
        <v>2162.0942213515632</v>
      </c>
      <c r="J63" s="134">
        <f t="shared" ref="J63:O63" si="15">SUM(J64:J69)</f>
        <v>286.15989153594182</v>
      </c>
      <c r="K63" s="134">
        <f t="shared" si="15"/>
        <v>16690.132519278544</v>
      </c>
      <c r="L63" s="134">
        <f t="shared" si="15"/>
        <v>281394.72054298181</v>
      </c>
      <c r="M63" s="134">
        <f t="shared" si="15"/>
        <v>3818.3786466792726</v>
      </c>
      <c r="N63" s="134">
        <f t="shared" si="15"/>
        <v>41.424880000000002</v>
      </c>
      <c r="O63" s="134">
        <f t="shared" si="15"/>
        <v>3743737.5660378207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Actividad'!$I60*'FE Sectorial'!$H63*'FE Sectorial'!I63*'FE Sectorial'!P63/1000</f>
        <v>3598486.8661272959</v>
      </c>
      <c r="I64" s="17">
        <f>'Datos Actividad'!$I60*'FE Sectorial'!$H63*'FE Sectorial'!J63/1000/1000</f>
        <v>64.466483327999995</v>
      </c>
      <c r="J64" s="17">
        <f>'Datos Actividad'!$I60*'FE Sectorial'!$H63*'FE Sectorial'!K63/1000/1000</f>
        <v>6.4466483328000006</v>
      </c>
      <c r="K64" s="17">
        <f>'Datos Actividad'!$I60*'FE Sectorial'!$H63*'FE Sectorial'!L63/1000/1000</f>
        <v>9669.9724991999992</v>
      </c>
      <c r="L64" s="17">
        <f>'Datos Actividad'!$I60*'FE Sectorial'!$H63*'FE Sectorial'!M63/1000/1000</f>
        <v>1933.9944998399999</v>
      </c>
      <c r="M64" s="17">
        <f>'Datos Actividad'!$I60*'FE Sectorial'!$H63*'FE Sectorial'!N63/1000/1000</f>
        <v>322.33241664000002</v>
      </c>
      <c r="N64" s="17">
        <f>'Datos Actividad'!$I60*'FE Sectorial'!$H63*'FE Sectorial'!O63/1000/1000</f>
        <v>0</v>
      </c>
      <c r="O64" s="87">
        <f>IF(D64&lt;400,H64+I64*'Factores generales'!$M$41+J64*'Factores generales'!$N$41,I64*'Factores generales'!$M$41+J64*'Factores generales'!$N$41)</f>
        <v>3601839.1232603518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Actividad'!$I61*'FE Sectorial'!$H64*'FE Sectorial'!I64*'FE Sectorial'!P64/1000</f>
        <v>4094.4592259999999</v>
      </c>
      <c r="I65" s="17">
        <f>'Datos Actividad'!$I61*'FE Sectorial'!$H64*'FE Sectorial'!J64/1000/1000</f>
        <v>0.16744200000000001</v>
      </c>
      <c r="J65" s="17">
        <f>'Datos Actividad'!$I61*'FE Sectorial'!$H64*'FE Sectorial'!K64/1000/1000</f>
        <v>3.3488400000000001E-2</v>
      </c>
      <c r="K65" s="17">
        <f>'Datos Actividad'!$I61*'FE Sectorial'!$H64*'FE Sectorial'!L64/1000/1000</f>
        <v>11.162799999999999</v>
      </c>
      <c r="L65" s="17">
        <f>'Datos Actividad'!$I61*'FE Sectorial'!$H64*'FE Sectorial'!M64/1000/1000</f>
        <v>0.55813999999999997</v>
      </c>
      <c r="M65" s="17">
        <f>'Datos Actividad'!$I61*'FE Sectorial'!$H64*'FE Sectorial'!N64/1000/1000</f>
        <v>0.27906999999999998</v>
      </c>
      <c r="N65" s="17">
        <f>'Datos Actividad'!$I61*'FE Sectorial'!$H64*'FE Sectorial'!O64/1000/1000</f>
        <v>2.02488</v>
      </c>
      <c r="O65" s="87">
        <f>IF(D65&lt;400,H65+I65*'Factores generales'!$M$41+J65*'Factores generales'!$N$41,I65*'Factores generales'!$M$41+J65*'Factores generales'!$N$41)</f>
        <v>4108.3569119999993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Actividad'!$I62*'FE Sectorial'!$H65*'FE Sectorial'!I65*'FE Sectorial'!P65/1000</f>
        <v>7042.6956600000012</v>
      </c>
      <c r="I66" s="17">
        <f>'Datos Actividad'!$I62*'FE Sectorial'!$H65*'FE Sectorial'!J65/1000/1000</f>
        <v>0.27573000000000003</v>
      </c>
      <c r="J66" s="17">
        <f>'Datos Actividad'!$I62*'FE Sectorial'!$H65*'FE Sectorial'!K65/1000/1000</f>
        <v>5.5146000000000001E-2</v>
      </c>
      <c r="K66" s="17">
        <f>'Datos Actividad'!$I62*'FE Sectorial'!$H65*'FE Sectorial'!L65/1000/1000</f>
        <v>18.382000000000001</v>
      </c>
      <c r="L66" s="17">
        <f>'Datos Actividad'!$I62*'FE Sectorial'!$H65*'FE Sectorial'!M65/1000/1000</f>
        <v>0.91910000000000003</v>
      </c>
      <c r="M66" s="17">
        <f>'Datos Actividad'!$I62*'FE Sectorial'!$H65*'FE Sectorial'!N65/1000/1000</f>
        <v>0.45955000000000001</v>
      </c>
      <c r="N66" s="17">
        <f>'Datos Actividad'!$I62*'FE Sectorial'!$H65*'FE Sectorial'!O65/1000/1000</f>
        <v>18.2</v>
      </c>
      <c r="O66" s="87">
        <f>IF(D66&lt;400,H66+I66*'Factores generales'!$M$41+J66*'Factores generales'!$N$41,I66*'Factores generales'!$M$41+J66*'Factores generales'!$N$41)</f>
        <v>7065.5812500000011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Actividad'!$I63*'FE Sectorial'!$H66*'FE Sectorial'!I66*'FE Sectorial'!P66/1000</f>
        <v>5594647.9973400002</v>
      </c>
      <c r="I67" s="17">
        <f>'Datos Actividad'!$I63*'FE Sectorial'!$H66*'FE Sectorial'!J66/1000/1000</f>
        <v>1929.1889645999997</v>
      </c>
      <c r="J67" s="17">
        <f>'Datos Actividad'!$I63*'FE Sectorial'!$H66*'FE Sectorial'!K66/1000/1000</f>
        <v>257.22519528000004</v>
      </c>
      <c r="K67" s="17">
        <f>'Datos Actividad'!$I63*'FE Sectorial'!$H66*'FE Sectorial'!L66/1000/1000</f>
        <v>6430.6298820000002</v>
      </c>
      <c r="L67" s="17">
        <f>'Datos Actividad'!$I63*'FE Sectorial'!$H66*'FE Sectorial'!M66/1000/1000</f>
        <v>257225.19528000001</v>
      </c>
      <c r="M67" s="17">
        <f>'Datos Actividad'!$I63*'FE Sectorial'!$H66*'FE Sectorial'!N66/1000/1000</f>
        <v>3215.3149410000001</v>
      </c>
      <c r="N67" s="17">
        <f>'Datos Actividad'!$I63*'FE Sectorial'!$H66*'FE Sectorial'!O66/1000/1000</f>
        <v>0</v>
      </c>
      <c r="O67" s="87">
        <f>IF(D67&lt;400,H67+I67*'Factores generales'!$M$41+J67*'Factores generales'!$N$41,I67*'Factores generales'!$M$41+J67*'Factores generales'!$N$41)</f>
        <v>120252.77879340001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Actividad'!$I64*'FE Sectorial'!$H67*'FE Sectorial'!I67*'FE Sectorial'!P67/1000</f>
        <v>8056.3392000000003</v>
      </c>
      <c r="I68" s="17">
        <f>'Datos Actividad'!$I64*'FE Sectorial'!$H67*'FE Sectorial'!J67/1000/1000</f>
        <v>2.4803999999999999</v>
      </c>
      <c r="J68" s="17">
        <f>'Datos Actividad'!$I64*'FE Sectorial'!$H67*'FE Sectorial'!K67/1000/1000</f>
        <v>0.33072000000000001</v>
      </c>
      <c r="K68" s="17">
        <f>'Datos Actividad'!$I64*'FE Sectorial'!$H67*'FE Sectorial'!L67/1000/1000</f>
        <v>8.2680000000000007</v>
      </c>
      <c r="L68" s="17">
        <f>'Datos Actividad'!$I64*'FE Sectorial'!$H67*'FE Sectorial'!M67/1000/1000</f>
        <v>165.36</v>
      </c>
      <c r="M68" s="17">
        <f>'Datos Actividad'!$I64*'FE Sectorial'!$H67*'FE Sectorial'!N67/1000/1000</f>
        <v>4.1340000000000003</v>
      </c>
      <c r="N68" s="17">
        <f>'Datos Actividad'!$I64*'FE Sectorial'!$H67*'FE Sectorial'!O67/1000/1000</f>
        <v>21.2</v>
      </c>
      <c r="O68" s="87">
        <f>IF(D68&lt;400,H68+I68*'Factores generales'!$M$41+J68*'Factores generales'!$N$41,I68*'Factores generales'!$M$41+J68*'Factores generales'!$N$41)</f>
        <v>154.61160000000001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Actividad'!$I65*'FE Sectorial'!$H68*'FE Sectorial'!I68*'FE Sectorial'!P68/1000</f>
        <v>479994.08412833454</v>
      </c>
      <c r="I69" s="17">
        <f>'Datos Actividad'!$I65*'FE Sectorial'!$H68*'FE Sectorial'!J68/1000/1000</f>
        <v>165.51520142356364</v>
      </c>
      <c r="J69" s="17">
        <f>'Datos Actividad'!$I65*'FE Sectorial'!$H68*'FE Sectorial'!K68/1000/1000</f>
        <v>22.068693523141821</v>
      </c>
      <c r="K69" s="17">
        <f>'Datos Actividad'!$I65*'FE Sectorial'!$H68*'FE Sectorial'!L68/1000/1000</f>
        <v>551.71733807854537</v>
      </c>
      <c r="L69" s="17">
        <f>'Datos Actividad'!$I65*'FE Sectorial'!$H68*'FE Sectorial'!M68/1000/1000</f>
        <v>22068.693523141821</v>
      </c>
      <c r="M69" s="17">
        <f>'Datos Actividad'!$I65*'FE Sectorial'!$H68*'FE Sectorial'!N68/1000/1000</f>
        <v>275.85866903927268</v>
      </c>
      <c r="N69" s="17">
        <f>'Datos Actividad'!$I65*'FE Sectorial'!$H68*'FE Sectorial'!O68/1000/1000</f>
        <v>0</v>
      </c>
      <c r="O69" s="87">
        <f>IF(D69&lt;400,H69+I69*'Factores generales'!$M$41+J69*'Factores generales'!$N$41,I69*'Factores generales'!$M$41+J69*'Factores generales'!$N$41)</f>
        <v>10317.114222068802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10474846.39969687</v>
      </c>
      <c r="I70" s="134">
        <f t="shared" si="16"/>
        <v>583.73487729355952</v>
      </c>
      <c r="J70" s="134">
        <f t="shared" si="16"/>
        <v>79.563791842087142</v>
      </c>
      <c r="K70" s="134">
        <f t="shared" si="16"/>
        <v>29301.025121925959</v>
      </c>
      <c r="L70" s="134">
        <f t="shared" si="16"/>
        <v>34720.006628373478</v>
      </c>
      <c r="M70" s="134">
        <f t="shared" si="16"/>
        <v>1526.3340276828987</v>
      </c>
      <c r="N70" s="134">
        <f t="shared" si="16"/>
        <v>5189.4146892316767</v>
      </c>
      <c r="O70" s="134">
        <f t="shared" si="16"/>
        <v>10511769.607591081</v>
      </c>
    </row>
    <row r="71" spans="1:15" outlineLevel="1" x14ac:dyDescent="0.25">
      <c r="B71" s="1" t="s">
        <v>36</v>
      </c>
      <c r="G71" s="1"/>
      <c r="H71" s="15">
        <f>H72+H73+H74+H76</f>
        <v>3127852.8115234654</v>
      </c>
      <c r="I71" s="15">
        <f>SUM(I72:I76)</f>
        <v>146.23820775846227</v>
      </c>
      <c r="J71" s="15">
        <f t="shared" ref="J71:O71" si="17">SUM(J72:J76)</f>
        <v>20.436701657310756</v>
      </c>
      <c r="K71" s="15">
        <f t="shared" si="17"/>
        <v>8795.5987358517177</v>
      </c>
      <c r="L71" s="15">
        <f t="shared" si="17"/>
        <v>7978.7876086806409</v>
      </c>
      <c r="M71" s="15">
        <f t="shared" si="17"/>
        <v>455.25490643533186</v>
      </c>
      <c r="N71" s="15">
        <f t="shared" si="17"/>
        <v>783.42613565217403</v>
      </c>
      <c r="O71" s="15">
        <f t="shared" si="17"/>
        <v>3137259.1914001592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Actividad'!$I68*'FE Sectorial'!$H71*'FE Sectorial'!I71*'FE Sectorial'!P71/1000</f>
        <v>2938242.9786407286</v>
      </c>
      <c r="I72" s="17">
        <f>'Datos Actividad'!$I68*'FE Sectorial'!$H71*'FE Sectorial'!J71/1000/1000</f>
        <v>52.638289104000002</v>
      </c>
      <c r="J72" s="17">
        <f>'Datos Actividad'!$I68*'FE Sectorial'!$H71*'FE Sectorial'!K71/1000/1000</f>
        <v>5.2638289104000009</v>
      </c>
      <c r="K72" s="17">
        <f>'Datos Actividad'!$I68*'FE Sectorial'!$H71*'FE Sectorial'!L71/1000/1000</f>
        <v>7895.7433656000003</v>
      </c>
      <c r="L72" s="17">
        <f>'Datos Actividad'!$I68*'FE Sectorial'!$H71*'FE Sectorial'!M71/1000/1000</f>
        <v>1579.1486731200002</v>
      </c>
      <c r="M72" s="17">
        <f>'Datos Actividad'!$I68*'FE Sectorial'!$H71*'FE Sectorial'!N71/1000/1000</f>
        <v>263.19144552</v>
      </c>
      <c r="N72" s="17">
        <f>'Datos Actividad'!$I68*'FE Sectorial'!$H71*'FE Sectorial'!O71/1000/1000</f>
        <v>0</v>
      </c>
      <c r="O72" s="87">
        <f>IF(D72&lt;400,H72+I72*'Factores generales'!$M$41+J72*'Factores generales'!$N$41,I72*'Factores generales'!$M$41+J72*'Factores generales'!$N$41)</f>
        <v>2940980.1696741367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Actividad'!$I69*'FE Sectorial'!$H72*'FE Sectorial'!I72*'FE Sectorial'!P72/1000</f>
        <v>1652.924988</v>
      </c>
      <c r="I73" s="17">
        <f>'Datos Actividad'!$I69*'FE Sectorial'!$H72*'FE Sectorial'!J72/1000/1000</f>
        <v>6.7596000000000003E-2</v>
      </c>
      <c r="J73" s="17">
        <f>'Datos Actividad'!$I69*'FE Sectorial'!$H72*'FE Sectorial'!K72/1000/1000</f>
        <v>1.35192E-2</v>
      </c>
      <c r="K73" s="17">
        <f>'Datos Actividad'!$I69*'FE Sectorial'!$H72*'FE Sectorial'!L72/1000/1000</f>
        <v>4.5063999999999993</v>
      </c>
      <c r="L73" s="17">
        <f>'Datos Actividad'!$I69*'FE Sectorial'!$H72*'FE Sectorial'!M72/1000/1000</f>
        <v>0.22531999999999999</v>
      </c>
      <c r="M73" s="17">
        <f>'Datos Actividad'!$I69*'FE Sectorial'!$H72*'FE Sectorial'!N72/1000/1000</f>
        <v>0.11266</v>
      </c>
      <c r="N73" s="17">
        <f>'Datos Actividad'!$I69*'FE Sectorial'!$H72*'FE Sectorial'!O72/1000/1000</f>
        <v>0.81744000000000006</v>
      </c>
      <c r="O73" s="87">
        <f>IF(D73&lt;400,H73+I73*'Factores generales'!$M$41+J73*'Factores generales'!$N$41,I73*'Factores generales'!$M$41+J73*'Factores generales'!$N$41)</f>
        <v>1658.5354559999998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Actividad'!$I70*'FE Sectorial'!$H73*'FE Sectorial'!I73*'FE Sectorial'!P73/1000</f>
        <v>187956.90789473685</v>
      </c>
      <c r="I74" s="17">
        <f>'Datos Actividad'!$I70*'FE Sectorial'!$H73*'FE Sectorial'!J73/1000/1000</f>
        <v>1.9671052631578947</v>
      </c>
      <c r="J74" s="17">
        <f>'Datos Actividad'!$I70*'FE Sectorial'!$H73*'FE Sectorial'!K73/1000/1000</f>
        <v>2.9506578947368425</v>
      </c>
      <c r="K74" s="17">
        <f>'Datos Actividad'!$I70*'FE Sectorial'!$H73*'FE Sectorial'!L73/1000/1000</f>
        <v>590.13157894736855</v>
      </c>
      <c r="L74" s="17">
        <f>'Datos Actividad'!$I70*'FE Sectorial'!$H73*'FE Sectorial'!M73/1000/1000</f>
        <v>295.06578947368428</v>
      </c>
      <c r="M74" s="17">
        <f>'Datos Actividad'!$I70*'FE Sectorial'!$H73*'FE Sectorial'!N73/1000/1000</f>
        <v>39.34210526315789</v>
      </c>
      <c r="N74" s="17">
        <f>'Datos Actividad'!$I70*'FE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188912.9210526316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Actividad'!$I71*'FE Sectorial'!$H74*'FE Sectorial'!I74*'FE Sectorial'!P74/1000</f>
        <v>297403.82608695654</v>
      </c>
      <c r="I75" s="17">
        <f>'Datos Actividad'!$I71*'FE Sectorial'!$H74*'FE Sectorial'!J74/1000/1000</f>
        <v>91.565217391304358</v>
      </c>
      <c r="J75" s="17">
        <f>'Datos Actividad'!$I71*'FE Sectorial'!$H74*'FE Sectorial'!K74/1000/1000</f>
        <v>12.208695652173914</v>
      </c>
      <c r="K75" s="17">
        <f>'Datos Actividad'!$I71*'FE Sectorial'!$H74*'FE Sectorial'!L74/1000/1000</f>
        <v>305.21739130434787</v>
      </c>
      <c r="L75" s="17">
        <f>'Datos Actividad'!$I71*'FE Sectorial'!$H74*'FE Sectorial'!M74/1000/1000</f>
        <v>6104.347826086957</v>
      </c>
      <c r="M75" s="17">
        <f>'Datos Actividad'!$I71*'FE Sectorial'!$H74*'FE Sectorial'!N74/1000/1000</f>
        <v>152.60869565217394</v>
      </c>
      <c r="N75" s="17">
        <f>'Datos Actividad'!$I71*'FE Sectorial'!$H74*'FE Sectorial'!O74/1000/1000</f>
        <v>782.60869565217399</v>
      </c>
      <c r="O75" s="87">
        <f>IF(D75&lt;400,H75+I75*'Factores generales'!$M$41+J75*'Factores generales'!$N$41,I75*'Factores generales'!$M$41+J75*'Factores generales'!$N$41)</f>
        <v>5707.565217391304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Actividad'!$I72*'FE Sectorial'!$H75*'FE Sectorial'!I75*'FE Sectorial'!P75/1000</f>
        <v>0</v>
      </c>
      <c r="I76" s="17">
        <f>'Datos Actividad'!$I72*'FE Sectorial'!$H75*'FE Sectorial'!J75/1000/1000</f>
        <v>0</v>
      </c>
      <c r="J76" s="17">
        <f>'Datos Actividad'!$I72*'FE Sectorial'!$H75*'FE Sectorial'!K75/1000/1000</f>
        <v>0</v>
      </c>
      <c r="K76" s="17">
        <f>'Datos Actividad'!$I72*'FE Sectorial'!$H75*'FE Sectorial'!L75/1000/1000</f>
        <v>0</v>
      </c>
      <c r="L76" s="17">
        <f>'Datos Actividad'!$I72*'FE Sectorial'!$H75*'FE Sectorial'!M75/1000/1000</f>
        <v>0</v>
      </c>
      <c r="M76" s="17">
        <f>'Datos Actividad'!$I72*'FE Sectorial'!$H75*'FE Sectorial'!N75/1000/1000</f>
        <v>0</v>
      </c>
      <c r="N76" s="17">
        <f>'Datos Actividad'!$I72*'FE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126173.722076424</v>
      </c>
      <c r="I77" s="15">
        <f t="shared" si="18"/>
        <v>2.2652446320000004</v>
      </c>
      <c r="J77" s="15">
        <f t="shared" si="18"/>
        <v>0.22738876320000004</v>
      </c>
      <c r="K77" s="15">
        <f t="shared" si="18"/>
        <v>339.0664448</v>
      </c>
      <c r="L77" s="15">
        <f t="shared" si="18"/>
        <v>67.726858960000015</v>
      </c>
      <c r="M77" s="15">
        <f t="shared" si="18"/>
        <v>11.29741316</v>
      </c>
      <c r="N77" s="15">
        <f t="shared" si="18"/>
        <v>0.10452</v>
      </c>
      <c r="O77" s="15">
        <f t="shared" si="18"/>
        <v>126291.78273028802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Actividad'!$I74*'FE Sectorial'!$H77*'FE Sectorial'!I77*'FE Sectorial'!P77/1000</f>
        <v>125962.37479742401</v>
      </c>
      <c r="I78" s="17">
        <f>'Datos Actividad'!$I74*'FE Sectorial'!$H77*'FE Sectorial'!J77/1000/1000</f>
        <v>2.2566016320000002</v>
      </c>
      <c r="J78" s="17">
        <f>'Datos Actividad'!$I74*'FE Sectorial'!$H77*'FE Sectorial'!K77/1000/1000</f>
        <v>0.22566016320000004</v>
      </c>
      <c r="K78" s="17">
        <f>'Datos Actividad'!$I74*'FE Sectorial'!$H77*'FE Sectorial'!L77/1000/1000</f>
        <v>338.49024479999997</v>
      </c>
      <c r="L78" s="17">
        <f>'Datos Actividad'!$I74*'FE Sectorial'!$H77*'FE Sectorial'!M77/1000/1000</f>
        <v>67.698048960000008</v>
      </c>
      <c r="M78" s="17">
        <f>'Datos Actividad'!$I74*'FE Sectorial'!$H77*'FE Sectorial'!N77/1000/1000</f>
        <v>11.28300816</v>
      </c>
      <c r="N78" s="17">
        <f>'Datos Actividad'!$I74*'FE Sectorial'!$H77*'FE Sectorial'!O77/1000/1000</f>
        <v>0</v>
      </c>
      <c r="O78" s="87">
        <f>IF(D78&lt;400,H78+I78*'Factores generales'!$M$41+J78*'Factores generales'!$N$41,I78*'Factores generales'!$M$41+J78*'Factores generales'!$N$41)</f>
        <v>126079.71808228802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Actividad'!$I75*'FE Sectorial'!$H78*'FE Sectorial'!I78*'FE Sectorial'!P78/1000</f>
        <v>211.34727899999999</v>
      </c>
      <c r="I79" s="17">
        <f>'Datos Actividad'!$I75*'FE Sectorial'!$H78*'FE Sectorial'!J78/1000/1000</f>
        <v>8.6430000000000014E-3</v>
      </c>
      <c r="J79" s="17">
        <f>'Datos Actividad'!$I75*'FE Sectorial'!$H78*'FE Sectorial'!K78/1000/1000</f>
        <v>1.7285999999999998E-3</v>
      </c>
      <c r="K79" s="17">
        <f>'Datos Actividad'!$I75*'FE Sectorial'!$H78*'FE Sectorial'!L78/1000/1000</f>
        <v>0.57620000000000005</v>
      </c>
      <c r="L79" s="17">
        <f>'Datos Actividad'!$I75*'FE Sectorial'!$H78*'FE Sectorial'!M78/1000/1000</f>
        <v>2.8809999999999999E-2</v>
      </c>
      <c r="M79" s="17">
        <f>'Datos Actividad'!$I75*'FE Sectorial'!$H78*'FE Sectorial'!N78/1000/1000</f>
        <v>1.4404999999999999E-2</v>
      </c>
      <c r="N79" s="17">
        <f>'Datos Actividad'!$I75*'FE Sectorial'!$H78*'FE Sectorial'!O78/1000/1000</f>
        <v>0.10452</v>
      </c>
      <c r="O79" s="87">
        <f>IF(D79&lt;400,H79+I79*'Factores generales'!$M$41+J79*'Factores generales'!$N$41,I79*'Factores generales'!$M$41+J79*'Factores generales'!$N$41)</f>
        <v>212.06464799999998</v>
      </c>
    </row>
    <row r="80" spans="1:15" outlineLevel="1" x14ac:dyDescent="0.25">
      <c r="B80" s="1" t="s">
        <v>37</v>
      </c>
      <c r="G80" s="1"/>
      <c r="H80" s="15">
        <f>SUM(H81:H83)</f>
        <v>57050.391971232013</v>
      </c>
      <c r="I80" s="15">
        <f>SUM(I81:I85)</f>
        <v>272.74332959956365</v>
      </c>
      <c r="J80" s="15">
        <f t="shared" ref="J80:O80" si="19">SUM(J81:J85)</f>
        <v>36.331813740741815</v>
      </c>
      <c r="K80" s="15">
        <f t="shared" si="19"/>
        <v>1059.0441044785455</v>
      </c>
      <c r="L80" s="15">
        <f t="shared" si="19"/>
        <v>23483.936808421819</v>
      </c>
      <c r="M80" s="15">
        <f t="shared" si="19"/>
        <v>457.97716991927268</v>
      </c>
      <c r="N80" s="15">
        <f t="shared" si="19"/>
        <v>1637.9795999999999</v>
      </c>
      <c r="O80" s="15">
        <f t="shared" si="19"/>
        <v>74040.864152452807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Actividad'!$I77*'FE Sectorial'!$H80*'FE Sectorial'!I80*'FE Sectorial'!P80/1000</f>
        <v>57018.84760123201</v>
      </c>
      <c r="I81" s="17">
        <f>'Datos Actividad'!$I77*'FE Sectorial'!$H80*'FE Sectorial'!J80/1000/1000</f>
        <v>1.021486176</v>
      </c>
      <c r="J81" s="17">
        <f>'Datos Actividad'!$I77*'FE Sectorial'!$H80*'FE Sectorial'!K80/1000/1000</f>
        <v>0.10214861760000001</v>
      </c>
      <c r="K81" s="17">
        <f>'Datos Actividad'!$I77*'FE Sectorial'!$H80*'FE Sectorial'!L80/1000/1000</f>
        <v>153.22292640000001</v>
      </c>
      <c r="L81" s="17">
        <f>'Datos Actividad'!$I77*'FE Sectorial'!$H80*'FE Sectorial'!M80/1000/1000</f>
        <v>30.644585280000005</v>
      </c>
      <c r="M81" s="17">
        <f>'Datos Actividad'!$I77*'FE Sectorial'!$H80*'FE Sectorial'!N80/1000/1000</f>
        <v>5.1074308800000008</v>
      </c>
      <c r="N81" s="17">
        <f>'Datos Actividad'!$I77*'FE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57071.964882384011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Actividad'!$I78*'FE Sectorial'!$H81*'FE Sectorial'!I81*'FE Sectorial'!P81/1000</f>
        <v>31.544369999999994</v>
      </c>
      <c r="I82" s="17">
        <f>'Datos Actividad'!$I78*'FE Sectorial'!$H81*'FE Sectorial'!J81/1000/1000</f>
        <v>1.2900000000000001E-3</v>
      </c>
      <c r="J82" s="17">
        <f>'Datos Actividad'!$I78*'FE Sectorial'!$H81*'FE Sectorial'!K81/1000/1000</f>
        <v>2.5799999999999998E-4</v>
      </c>
      <c r="K82" s="17">
        <f>'Datos Actividad'!$I78*'FE Sectorial'!$H81*'FE Sectorial'!L81/1000/1000</f>
        <v>8.5999999999999993E-2</v>
      </c>
      <c r="L82" s="17">
        <f>'Datos Actividad'!$I78*'FE Sectorial'!$H81*'FE Sectorial'!M81/1000/1000</f>
        <v>4.3E-3</v>
      </c>
      <c r="M82" s="17">
        <f>'Datos Actividad'!$I78*'FE Sectorial'!$H81*'FE Sectorial'!N81/1000/1000</f>
        <v>2.15E-3</v>
      </c>
      <c r="N82" s="17">
        <f>'Datos Actividad'!$I78*'FE Sectorial'!$H81*'FE Sectorial'!O81/1000/1000</f>
        <v>1.5599999999999999E-2</v>
      </c>
      <c r="O82" s="87">
        <f>IF(D82&lt;400,H82+I82*'Factores generales'!$M$41+J82*'Factores generales'!$N$41,I82*'Factores generales'!$M$41+J82*'Factores generales'!$N$41)</f>
        <v>31.651439999999994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Actividad'!$I79*'FE Sectorial'!$H82*'FE Sectorial'!I82*'FE Sectorial'!P82/1000</f>
        <v>0</v>
      </c>
      <c r="I83" s="95">
        <f>'Datos Actividad'!$I79*'FE Sectorial'!$H82*'FE Sectorial'!J82/1000/1000</f>
        <v>0</v>
      </c>
      <c r="J83" s="17">
        <f>'Datos Actividad'!$I79*'FE Sectorial'!$H82*'FE Sectorial'!K82/1000/1000</f>
        <v>0</v>
      </c>
      <c r="K83" s="17">
        <f>'Datos Actividad'!$I79*'FE Sectorial'!$H82*'FE Sectorial'!L82/1000/1000</f>
        <v>0</v>
      </c>
      <c r="L83" s="17">
        <f>'Datos Actividad'!$I79*'FE Sectorial'!$H82*'FE Sectorial'!M82/1000/1000</f>
        <v>0</v>
      </c>
      <c r="M83" s="17">
        <f>'Datos Actividad'!$I79*'FE Sectorial'!$H82*'FE Sectorial'!N82/1000/1000</f>
        <v>0</v>
      </c>
      <c r="N83" s="17">
        <f>'Datos Actividad'!$I79*'FE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Actividad'!$I80*'FE Sectorial'!$H83*'FE Sectorial'!I83*'FE Sectorial'!P83/1000</f>
        <v>622452.52742399985</v>
      </c>
      <c r="I84" s="95">
        <f>'Datos Actividad'!$I80*'FE Sectorial'!$H83*'FE Sectorial'!J83/1000/1000</f>
        <v>191.64178799999999</v>
      </c>
      <c r="J84" s="17">
        <f>'Datos Actividad'!$I80*'FE Sectorial'!$H83*'FE Sectorial'!K83/1000/1000</f>
        <v>25.552238399999997</v>
      </c>
      <c r="K84" s="17">
        <f>'Datos Actividad'!$I80*'FE Sectorial'!$H83*'FE Sectorial'!L83/1000/1000</f>
        <v>638.80595999999991</v>
      </c>
      <c r="L84" s="17">
        <f>'Datos Actividad'!$I80*'FE Sectorial'!$H83*'FE Sectorial'!M83/1000/1000</f>
        <v>12776.119199999999</v>
      </c>
      <c r="M84" s="17">
        <f>'Datos Actividad'!$I80*'FE Sectorial'!$H83*'FE Sectorial'!N83/1000/1000</f>
        <v>319.40297999999996</v>
      </c>
      <c r="N84" s="17">
        <f>'Datos Actividad'!$I80*'FE Sectorial'!$H83*'FE Sectorial'!O83/1000/1000</f>
        <v>1637.9639999999999</v>
      </c>
      <c r="O84" s="87">
        <f>IF(D84&lt;400,H84+I84*'Factores generales'!$M$41+J84*'Factores generales'!$N$41,I84*'Factores generales'!$M$41+J84*'Factores generales'!$N$41)</f>
        <v>11945.671451999999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Actividad'!$I81*'FE Sectorial'!$H84*'FE Sectorial'!I84*'FE Sectorial'!P84/1000</f>
        <v>232228.41972833459</v>
      </c>
      <c r="I85" s="95">
        <f>'Datos Actividad'!$I81*'FE Sectorial'!$H84*'FE Sectorial'!J84/1000/1000</f>
        <v>80.078765423563638</v>
      </c>
      <c r="J85" s="17">
        <f>'Datos Actividad'!$I81*'FE Sectorial'!$H84*'FE Sectorial'!K84/1000/1000</f>
        <v>10.67716872314182</v>
      </c>
      <c r="K85" s="17">
        <f>'Datos Actividad'!$I81*'FE Sectorial'!$H84*'FE Sectorial'!L84/1000/1000</f>
        <v>266.92921807854549</v>
      </c>
      <c r="L85" s="17">
        <f>'Datos Actividad'!$I81*'FE Sectorial'!$H84*'FE Sectorial'!M84/1000/1000</f>
        <v>10677.16872314182</v>
      </c>
      <c r="M85" s="17">
        <f>'Datos Actividad'!$I81*'FE Sectorial'!$H84*'FE Sectorial'!N84/1000/1000</f>
        <v>133.46460903927274</v>
      </c>
      <c r="N85" s="17">
        <f>'Datos Actividad'!$I81*'FE Sectorial'!$H84*'FE Sectorial'!O84/1000/1000</f>
        <v>0</v>
      </c>
      <c r="O85" s="87">
        <f>IF(D85&lt;400,H85+I85*'Factores generales'!$M$41+J85*'Factores generales'!$N$41,I85*'Factores generales'!$M$41+J85*'Factores generales'!$N$41)</f>
        <v>4991.5763780688003</v>
      </c>
    </row>
    <row r="86" spans="2:15" outlineLevel="1" x14ac:dyDescent="0.25">
      <c r="B86" s="1" t="s">
        <v>38</v>
      </c>
      <c r="G86" s="1"/>
      <c r="H86" s="15">
        <f>H87+H88</f>
        <v>258839.47331747998</v>
      </c>
      <c r="I86" s="15">
        <f>I87+I88+I89</f>
        <v>4.6378046399999997</v>
      </c>
      <c r="J86" s="15">
        <f t="shared" ref="J86:O86" si="20">J87+J88+J89</f>
        <v>0.46390946399999994</v>
      </c>
      <c r="K86" s="15">
        <f t="shared" si="20"/>
        <v>695.56319600000006</v>
      </c>
      <c r="L86" s="15">
        <f t="shared" si="20"/>
        <v>139.09973919999999</v>
      </c>
      <c r="M86" s="15">
        <f t="shared" si="20"/>
        <v>23.184723200000001</v>
      </c>
      <c r="N86" s="15">
        <f t="shared" si="20"/>
        <v>1.5599999999999999E-2</v>
      </c>
      <c r="O86" s="15">
        <f t="shared" si="20"/>
        <v>259080.67914875998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Actividad'!$I83*'FE Sectorial'!$H86*'FE Sectorial'!I86*'FE Sectorial'!P86/1000</f>
        <v>258807.92894747999</v>
      </c>
      <c r="I87" s="17">
        <f>'Datos Actividad'!$I83*'FE Sectorial'!$H86*'FE Sectorial'!J86/1000/1000</f>
        <v>4.6365146399999997</v>
      </c>
      <c r="J87" s="17">
        <f>'Datos Actividad'!$I83*'FE Sectorial'!$H86*'FE Sectorial'!K86/1000/1000</f>
        <v>0.46365146399999996</v>
      </c>
      <c r="K87" s="17">
        <f>'Datos Actividad'!$I83*'FE Sectorial'!$H86*'FE Sectorial'!L86/1000/1000</f>
        <v>695.47719600000005</v>
      </c>
      <c r="L87" s="17">
        <f>'Datos Actividad'!$I83*'FE Sectorial'!$H86*'FE Sectorial'!M86/1000/1000</f>
        <v>139.09543919999999</v>
      </c>
      <c r="M87" s="17">
        <f>'Datos Actividad'!$I83*'FE Sectorial'!$H86*'FE Sectorial'!N86/1000/1000</f>
        <v>23.1825732</v>
      </c>
      <c r="N87" s="17">
        <f>'Datos Actividad'!$I83*'FE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259049.02770876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Actividad'!$I84*'FE Sectorial'!$H87*'FE Sectorial'!I87*'FE Sectorial'!P87/1000</f>
        <v>31.544369999999994</v>
      </c>
      <c r="I88" s="17">
        <f>'Datos Actividad'!$I84*'FE Sectorial'!$H87*'FE Sectorial'!J87/1000/1000</f>
        <v>1.2900000000000001E-3</v>
      </c>
      <c r="J88" s="17">
        <f>'Datos Actividad'!$I84*'FE Sectorial'!$H87*'FE Sectorial'!K87/1000/1000</f>
        <v>2.5799999999999998E-4</v>
      </c>
      <c r="K88" s="17">
        <f>'Datos Actividad'!$I84*'FE Sectorial'!$H87*'FE Sectorial'!L87/1000/1000</f>
        <v>8.5999999999999993E-2</v>
      </c>
      <c r="L88" s="17">
        <f>'Datos Actividad'!$I84*'FE Sectorial'!$H87*'FE Sectorial'!M87/1000/1000</f>
        <v>4.3E-3</v>
      </c>
      <c r="M88" s="17">
        <f>'Datos Actividad'!$I84*'FE Sectorial'!$H87*'FE Sectorial'!N87/1000/1000</f>
        <v>2.15E-3</v>
      </c>
      <c r="N88" s="17">
        <f>'Datos Actividad'!$I84*'FE Sectorial'!$H87*'FE Sectorial'!O87/1000/1000</f>
        <v>1.5599999999999999E-2</v>
      </c>
      <c r="O88" s="87">
        <f>IF(D88&lt;400,H88+I88*'Factores generales'!$M$41+J88*'Factores generales'!$N$41,I88*'Factores generales'!$M$41+J88*'Factores generales'!$N$41)</f>
        <v>31.651439999999994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Actividad'!$I85*'FE Sectorial'!$H88*'FE Sectorial'!I88*'FE Sectorial'!P88/1000</f>
        <v>0</v>
      </c>
      <c r="I89" s="95">
        <f>'Datos Actividad'!$I85*'FE Sectorial'!$H88*'FE Sectorial'!J88/1000/1000</f>
        <v>0</v>
      </c>
      <c r="J89" s="17">
        <f>'Datos Actividad'!$I85*'FE Sectorial'!$H88*'FE Sectorial'!K88/1000/1000</f>
        <v>0</v>
      </c>
      <c r="K89" s="17">
        <f>'Datos Actividad'!$I85*'FE Sectorial'!$H88*'FE Sectorial'!L88/1000/1000</f>
        <v>0</v>
      </c>
      <c r="L89" s="17">
        <f>'Datos Actividad'!$I85*'FE Sectorial'!$H88*'FE Sectorial'!M88/1000/1000</f>
        <v>0</v>
      </c>
      <c r="M89" s="17">
        <f>'Datos Actividad'!$I85*'FE Sectorial'!$H88*'FE Sectorial'!N88/1000/1000</f>
        <v>0</v>
      </c>
      <c r="N89" s="17">
        <f>'Datos Actividad'!$I85*'FE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4978464.5939410804</v>
      </c>
      <c r="I90" s="15">
        <f t="shared" si="21"/>
        <v>92.079583440000007</v>
      </c>
      <c r="J90" s="15">
        <f t="shared" si="21"/>
        <v>9.7230513840000015</v>
      </c>
      <c r="K90" s="15">
        <f t="shared" si="21"/>
        <v>13382.693316000003</v>
      </c>
      <c r="L90" s="15">
        <f t="shared" si="21"/>
        <v>2625.0293592000003</v>
      </c>
      <c r="M90" s="15">
        <f t="shared" si="21"/>
        <v>443.22814920000008</v>
      </c>
      <c r="N90" s="15">
        <f t="shared" si="21"/>
        <v>71.941519999999997</v>
      </c>
      <c r="O90" s="15">
        <f t="shared" si="21"/>
        <v>4983412.4111223612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Actividad'!$I87*'FE Sectorial'!$H90*'FE Sectorial'!I90*'FE Sectorial'!P90/1000</f>
        <v>4852313.9483662806</v>
      </c>
      <c r="I91" s="17">
        <f>'Datos Actividad'!$I87*'FE Sectorial'!$H90*'FE Sectorial'!J90/1000/1000</f>
        <v>86.92865304</v>
      </c>
      <c r="J91" s="17">
        <f>'Datos Actividad'!$I87*'FE Sectorial'!$H90*'FE Sectorial'!K90/1000/1000</f>
        <v>8.6928653040000015</v>
      </c>
      <c r="K91" s="17">
        <f>'Datos Actividad'!$I87*'FE Sectorial'!$H90*'FE Sectorial'!L90/1000/1000</f>
        <v>13039.297956000002</v>
      </c>
      <c r="L91" s="17">
        <f>'Datos Actividad'!$I87*'FE Sectorial'!$H90*'FE Sectorial'!M90/1000/1000</f>
        <v>2607.8595912000001</v>
      </c>
      <c r="M91" s="17">
        <f>'Datos Actividad'!$I87*'FE Sectorial'!$H90*'FE Sectorial'!N90/1000/1000</f>
        <v>434.64326520000003</v>
      </c>
      <c r="N91" s="17">
        <f>'Datos Actividad'!$I87*'FE Sectorial'!$H90*'FE Sectorial'!O90/1000/1000</f>
        <v>0</v>
      </c>
      <c r="O91" s="87">
        <f>IF(D91&lt;400,H91+I91*'Factores generales'!$M$41+J91*'Factores generales'!$N$41,I91*'Factores generales'!$M$41+J91*'Factores generales'!$N$41)</f>
        <v>4856834.2383243609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Actividad'!$I88*'FE Sectorial'!$H91*'FE Sectorial'!I91*'FE Sectorial'!P91/1000</f>
        <v>121578.31085399998</v>
      </c>
      <c r="I92" s="17">
        <f>'Datos Actividad'!$I88*'FE Sectorial'!$H91*'FE Sectorial'!J91/1000/1000</f>
        <v>4.9719179999999996</v>
      </c>
      <c r="J92" s="17">
        <f>'Datos Actividad'!$I88*'FE Sectorial'!$H91*'FE Sectorial'!K91/1000/1000</f>
        <v>0.99438360000000003</v>
      </c>
      <c r="K92" s="17">
        <f>'Datos Actividad'!$I88*'FE Sectorial'!$H91*'FE Sectorial'!L91/1000/1000</f>
        <v>331.46120000000002</v>
      </c>
      <c r="L92" s="17">
        <f>'Datos Actividad'!$I88*'FE Sectorial'!$H91*'FE Sectorial'!M91/1000/1000</f>
        <v>16.573060000000002</v>
      </c>
      <c r="M92" s="17">
        <f>'Datos Actividad'!$I88*'FE Sectorial'!$H91*'FE Sectorial'!N91/1000/1000</f>
        <v>8.2865300000000008</v>
      </c>
      <c r="N92" s="17">
        <f>'Datos Actividad'!$I88*'FE Sectorial'!$H91*'FE Sectorial'!O91/1000/1000</f>
        <v>60.125519999999995</v>
      </c>
      <c r="O92" s="87">
        <f>IF(D92&lt;400,H92+I92*'Factores generales'!$M$41+J92*'Factores generales'!$N$41,I92*'Factores generales'!$M$41+J92*'Factores generales'!$N$41)</f>
        <v>121990.98004799998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Actividad'!$I89*'FE Sectorial'!$H92*'FE Sectorial'!I92*'FE Sectorial'!P92/1000</f>
        <v>4572.3347208000005</v>
      </c>
      <c r="I93" s="17">
        <f>'Datos Actividad'!$I89*'FE Sectorial'!$H92*'FE Sectorial'!J92/1000/1000</f>
        <v>0.17901239999999999</v>
      </c>
      <c r="J93" s="17">
        <f>'Datos Actividad'!$I89*'FE Sectorial'!$H92*'FE Sectorial'!K92/1000/1000</f>
        <v>3.5802479999999998E-2</v>
      </c>
      <c r="K93" s="17">
        <f>'Datos Actividad'!$I89*'FE Sectorial'!$H92*'FE Sectorial'!L92/1000/1000</f>
        <v>11.93416</v>
      </c>
      <c r="L93" s="17">
        <f>'Datos Actividad'!$I89*'FE Sectorial'!$H92*'FE Sectorial'!M92/1000/1000</f>
        <v>0.59670800000000002</v>
      </c>
      <c r="M93" s="17">
        <f>'Datos Actividad'!$I89*'FE Sectorial'!$H92*'FE Sectorial'!N92/1000/1000</f>
        <v>0.29835400000000001</v>
      </c>
      <c r="N93" s="17">
        <f>'Datos Actividad'!$I89*'FE Sectorial'!$H92*'FE Sectorial'!O92/1000/1000</f>
        <v>11.816000000000001</v>
      </c>
      <c r="O93" s="87">
        <f>IF(D93&lt;400,H93+I93*'Factores generales'!$M$41+J93*'Factores generales'!$N$41,I93*'Factores generales'!$M$41+J93*'Factores generales'!$N$41)</f>
        <v>4587.1927500000002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1926465.4068671882</v>
      </c>
      <c r="I94" s="15">
        <f t="shared" ref="I94:O94" si="22">SUM(I95:I100)</f>
        <v>65.770707223533606</v>
      </c>
      <c r="J94" s="15">
        <f t="shared" si="22"/>
        <v>12.380926832834572</v>
      </c>
      <c r="K94" s="15">
        <f t="shared" si="22"/>
        <v>5029.0593247956949</v>
      </c>
      <c r="L94" s="15">
        <f t="shared" si="22"/>
        <v>425.42625391101762</v>
      </c>
      <c r="M94" s="15">
        <f t="shared" si="22"/>
        <v>135.39166576829419</v>
      </c>
      <c r="N94" s="15">
        <f t="shared" si="22"/>
        <v>2695.9473135795033</v>
      </c>
      <c r="O94" s="15">
        <f t="shared" si="22"/>
        <v>1931684.6790370611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Actividad'!$I91*'FE Sectorial'!$H94*'FE Sectorial'!I94*'FE Sectorial'!P94/1000</f>
        <v>0</v>
      </c>
      <c r="I95" s="17">
        <f>'Datos Actividad'!$I91*'FE Sectorial'!$H94*'FE Sectorial'!J94/1000/1000</f>
        <v>0</v>
      </c>
      <c r="J95" s="17">
        <f>'Datos Actividad'!$I91*'FE Sectorial'!$H94*'FE Sectorial'!K94/1000/1000</f>
        <v>0</v>
      </c>
      <c r="K95" s="17">
        <f>'Datos Actividad'!$I91*'FE Sectorial'!$H94*'FE Sectorial'!L94/1000/1000</f>
        <v>0</v>
      </c>
      <c r="L95" s="17">
        <f>'Datos Actividad'!$I91*'FE Sectorial'!$H94*'FE Sectorial'!M94/1000/1000</f>
        <v>0</v>
      </c>
      <c r="M95" s="17">
        <f>'Datos Actividad'!$I91*'FE Sectorial'!$H94*'FE Sectorial'!N94/1000/1000</f>
        <v>0</v>
      </c>
      <c r="N95" s="17">
        <f>'Datos Actividad'!$I91*'FE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Actividad'!$I92*'FE Sectorial'!$H95*'FE Sectorial'!I95*'FE Sectorial'!P95/1000</f>
        <v>483019.43589041103</v>
      </c>
      <c r="I96" s="17">
        <f>'Datos Actividad'!$I92*'FE Sectorial'!$H95*'FE Sectorial'!J95/1000/1000</f>
        <v>7.7321461187214622</v>
      </c>
      <c r="J96" s="17">
        <f>'Datos Actividad'!$I92*'FE Sectorial'!$H95*'FE Sectorial'!K95/1000/1000</f>
        <v>0.77321461187214624</v>
      </c>
      <c r="K96" s="17">
        <f>'Datos Actividad'!$I92*'FE Sectorial'!$H95*'FE Sectorial'!L95/1000/1000</f>
        <v>1159.821917808219</v>
      </c>
      <c r="L96" s="17">
        <f>'Datos Actividad'!$I92*'FE Sectorial'!$H95*'FE Sectorial'!M95/1000/1000</f>
        <v>231.96438356164387</v>
      </c>
      <c r="M96" s="17">
        <f>'Datos Actividad'!$I92*'FE Sectorial'!$H95*'FE Sectorial'!N95/1000/1000</f>
        <v>38.660730593607312</v>
      </c>
      <c r="N96" s="17">
        <f>'Datos Actividad'!$I92*'FE Sectorial'!$H95*'FE Sectorial'!O95/1000/1000</f>
        <v>32.69406392694065</v>
      </c>
      <c r="O96" s="87">
        <f>IF(D96&lt;400,H96+I96*'Factores generales'!$M$41+J96*'Factores generales'!$N$41,I96*'Factores generales'!$M$41+J96*'Factores generales'!$N$41)</f>
        <v>483421.5074885845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Actividad'!$I93*'FE Sectorial'!$H96*'FE Sectorial'!I96*'FE Sectorial'!P96/1000</f>
        <v>201018.0441176474</v>
      </c>
      <c r="I97" s="17">
        <f>'Datos Actividad'!$I93*'FE Sectorial'!$H96*'FE Sectorial'!J96/1000/1000</f>
        <v>8.2205882352941337</v>
      </c>
      <c r="J97" s="17">
        <f>'Datos Actividad'!$I93*'FE Sectorial'!$H96*'FE Sectorial'!K96/1000/1000</f>
        <v>1.6441176470588266</v>
      </c>
      <c r="K97" s="17">
        <f>'Datos Actividad'!$I93*'FE Sectorial'!$H96*'FE Sectorial'!L96/1000/1000</f>
        <v>548.0392156862755</v>
      </c>
      <c r="L97" s="17">
        <f>'Datos Actividad'!$I93*'FE Sectorial'!$H96*'FE Sectorial'!M96/1000/1000</f>
        <v>27.401960784313776</v>
      </c>
      <c r="M97" s="17">
        <f>'Datos Actividad'!$I93*'FE Sectorial'!$H96*'FE Sectorial'!N96/1000/1000</f>
        <v>13.700980392156888</v>
      </c>
      <c r="N97" s="17">
        <f>'Datos Actividad'!$I93*'FE Sectorial'!$H96*'FE Sectorial'!O96/1000/1000</f>
        <v>99.411764705882533</v>
      </c>
      <c r="O97" s="87">
        <f>IF(D97&lt;400,H97+I97*'Factores generales'!$M$41+J97*'Factores generales'!$N$41,I97*'Factores generales'!$M$41+J97*'Factores generales'!$N$41)</f>
        <v>201700.3529411768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Actividad'!$I94*'FE Sectorial'!$H97*'FE Sectorial'!I97*'FE Sectorial'!P97/1000</f>
        <v>985566.73959183681</v>
      </c>
      <c r="I98" s="17">
        <f>'Datos Actividad'!$I94*'FE Sectorial'!$H97*'FE Sectorial'!J97/1000/1000</f>
        <v>38.586122448979594</v>
      </c>
      <c r="J98" s="17">
        <f>'Datos Actividad'!$I94*'FE Sectorial'!$H97*'FE Sectorial'!K97/1000/1000</f>
        <v>7.7172244897959184</v>
      </c>
      <c r="K98" s="17">
        <f>'Datos Actividad'!$I94*'FE Sectorial'!$H97*'FE Sectorial'!L97/1000/1000</f>
        <v>2572.408163265306</v>
      </c>
      <c r="L98" s="17">
        <f>'Datos Actividad'!$I94*'FE Sectorial'!$H97*'FE Sectorial'!M97/1000/1000</f>
        <v>128.6204081632653</v>
      </c>
      <c r="M98" s="17">
        <f>'Datos Actividad'!$I94*'FE Sectorial'!$H97*'FE Sectorial'!N97/1000/1000</f>
        <v>64.310204081632648</v>
      </c>
      <c r="N98" s="17">
        <f>'Datos Actividad'!$I94*'FE Sectorial'!$H97*'FE Sectorial'!O97/1000/1000</f>
        <v>2546.9387755102043</v>
      </c>
      <c r="O98" s="87">
        <f>IF(D98&lt;400,H98+I98*'Factores generales'!$M$41+J98*'Factores generales'!$N$41,I98*'Factores generales'!$M$41+J98*'Factores generales'!$N$41)</f>
        <v>988769.38775510213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Actividad'!$I95*'FE Sectorial'!$H98*'FE Sectorial'!I98*'FE Sectorial'!P98/1000</f>
        <v>256861.18726729296</v>
      </c>
      <c r="I99" s="17">
        <f>'Datos Actividad'!$I95*'FE Sectorial'!$H98*'FE Sectorial'!J98/1000/1000</f>
        <v>11.231850420538414</v>
      </c>
      <c r="J99" s="17">
        <f>'Datos Actividad'!$I95*'FE Sectorial'!$H98*'FE Sectorial'!K98/1000/1000</f>
        <v>2.2463700841076824</v>
      </c>
      <c r="K99" s="17">
        <f>'Datos Actividad'!$I95*'FE Sectorial'!$H98*'FE Sectorial'!L98/1000/1000</f>
        <v>748.79002803589424</v>
      </c>
      <c r="L99" s="17">
        <f>'Datos Actividad'!$I95*'FE Sectorial'!$H98*'FE Sectorial'!M98/1000/1000</f>
        <v>37.439501401794708</v>
      </c>
      <c r="M99" s="17">
        <f>'Datos Actividad'!$I95*'FE Sectorial'!$H98*'FE Sectorial'!N98/1000/1000</f>
        <v>18.719750700897354</v>
      </c>
      <c r="N99" s="17">
        <f>'Datos Actividad'!$I95*'FE Sectorial'!$H98*'FE Sectorial'!O98/1000/1000</f>
        <v>16.902709436476169</v>
      </c>
      <c r="O99" s="87">
        <f>IF(D99&lt;400,H99+I99*'Factores generales'!$M$41+J99*'Factores generales'!$N$41,I99*'Factores generales'!$M$41+J99*'Factores generales'!$N$41)</f>
        <v>257793.43085219763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Actividad'!$I96*'FE Sectorial'!$H99*'FE Sectorial'!I99*'FE Sectorial'!P99/1000</f>
        <v>0</v>
      </c>
      <c r="I100" s="17">
        <f>'Datos Actividad'!$I96*'FE Sectorial'!$H99*'FE Sectorial'!J99/1000/1000</f>
        <v>0</v>
      </c>
      <c r="J100" s="17">
        <f>'Datos Actividad'!$I96*'FE Sectorial'!$H99*'FE Sectorial'!K99/1000/1000</f>
        <v>0</v>
      </c>
      <c r="K100" s="17">
        <f>'Datos Actividad'!$I96*'FE Sectorial'!$H99*'FE Sectorial'!L99/1000/1000</f>
        <v>0</v>
      </c>
      <c r="L100" s="17">
        <f>'Datos Actividad'!$I96*'FE Sectorial'!$H99*'FE Sectorial'!M99/1000/1000</f>
        <v>0</v>
      </c>
      <c r="M100" s="17">
        <f>'Datos Actividad'!$I96*'FE Sectorial'!$H99*'FE Sectorial'!N99/1000/1000</f>
        <v>0</v>
      </c>
      <c r="N100" s="17">
        <f>'Datos Actividad'!$I96*'FE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42241237.194922343</v>
      </c>
      <c r="I101" s="129">
        <f t="shared" si="23"/>
        <v>15113.38578305501</v>
      </c>
      <c r="J101" s="129">
        <f t="shared" si="23"/>
        <v>3131.1796641381634</v>
      </c>
      <c r="K101" s="129">
        <f t="shared" si="23"/>
        <v>398226.95423115487</v>
      </c>
      <c r="L101" s="129">
        <f t="shared" si="23"/>
        <v>2120879.5399561641</v>
      </c>
      <c r="M101" s="129">
        <f t="shared" si="23"/>
        <v>394913.42633103573</v>
      </c>
      <c r="N101" s="129">
        <f t="shared" si="23"/>
        <v>10603.128347249005</v>
      </c>
      <c r="O101" s="129">
        <f t="shared" si="23"/>
        <v>43529283.992249325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1254309.7777170762</v>
      </c>
      <c r="I102" s="134">
        <f t="shared" ref="I102:O102" si="24">I105</f>
        <v>8.8599970171440017</v>
      </c>
      <c r="J102" s="134">
        <f t="shared" si="24"/>
        <v>35.439988068576007</v>
      </c>
      <c r="K102" s="134">
        <f t="shared" si="24"/>
        <v>4429.9985085720009</v>
      </c>
      <c r="L102" s="134">
        <f t="shared" si="24"/>
        <v>1771.9994034288004</v>
      </c>
      <c r="M102" s="134">
        <f t="shared" si="24"/>
        <v>885.9997017144002</v>
      </c>
      <c r="N102" s="134">
        <f t="shared" si="24"/>
        <v>803.62784736000015</v>
      </c>
      <c r="O102" s="134">
        <f t="shared" si="24"/>
        <v>1265482.2339556948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2579516.516647391</v>
      </c>
      <c r="I103" s="15">
        <f t="shared" ref="I103:O103" si="25">I104</f>
        <v>18.220784888376002</v>
      </c>
      <c r="J103" s="15">
        <f t="shared" si="25"/>
        <v>72.883139553504009</v>
      </c>
      <c r="K103" s="15">
        <f t="shared" si="25"/>
        <v>9110.3924441880008</v>
      </c>
      <c r="L103" s="15">
        <f t="shared" si="25"/>
        <v>3644.1569776752003</v>
      </c>
      <c r="M103" s="15">
        <f t="shared" si="25"/>
        <v>1822.0784888376002</v>
      </c>
      <c r="N103" s="15">
        <f t="shared" si="25"/>
        <v>1652.6789014400001</v>
      </c>
      <c r="O103" s="15">
        <f t="shared" si="25"/>
        <v>2602492.9263916332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Actividad'!$I100*'FE Sectorial'!$H103*'FE Sectorial'!I103*'FE Sectorial'!P103/1000</f>
        <v>2579516.516647391</v>
      </c>
      <c r="I104" s="17">
        <f>'Datos Actividad'!$I100*'FE Sectorial'!$H103*'FE Sectorial'!J103/1000/1000</f>
        <v>18.220784888376002</v>
      </c>
      <c r="J104" s="17">
        <f>'Datos Actividad'!$I100*'FE Sectorial'!$H103*'FE Sectorial'!K103/1000/1000</f>
        <v>72.883139553504009</v>
      </c>
      <c r="K104" s="17">
        <f>'Datos Actividad'!$I100*'FE Sectorial'!$H103*'FE Sectorial'!L103/1000/1000</f>
        <v>9110.3924441880008</v>
      </c>
      <c r="L104" s="17">
        <f>'Datos Actividad'!$I100*'FE Sectorial'!$H103*'FE Sectorial'!M103/1000/1000</f>
        <v>3644.1569776752003</v>
      </c>
      <c r="M104" s="17">
        <f>'Datos Actividad'!$I100*'FE Sectorial'!$H103*'FE Sectorial'!N103/1000/1000</f>
        <v>1822.0784888376002</v>
      </c>
      <c r="N104" s="17">
        <f>'Datos Actividad'!$I100*'FE Sectorial'!$H103*'FE Sectorial'!O103/1000/1000</f>
        <v>1652.6789014400001</v>
      </c>
      <c r="O104" s="87">
        <f>IF(D104&lt;400,H104+I104*'Factores generales'!$M$41+J104*'Factores generales'!$N$41,I104*'Factores generales'!$M$41+J104*'Factores generales'!$N$41)</f>
        <v>2602492.9263916332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1254309.7777170762</v>
      </c>
      <c r="I105" s="15">
        <f t="shared" ref="I105:O105" si="26">I106</f>
        <v>8.8599970171440017</v>
      </c>
      <c r="J105" s="15">
        <f t="shared" si="26"/>
        <v>35.439988068576007</v>
      </c>
      <c r="K105" s="15">
        <f t="shared" si="26"/>
        <v>4429.9985085720009</v>
      </c>
      <c r="L105" s="15">
        <f t="shared" si="26"/>
        <v>1771.9994034288004</v>
      </c>
      <c r="M105" s="15">
        <f t="shared" si="26"/>
        <v>885.9997017144002</v>
      </c>
      <c r="N105" s="15">
        <f t="shared" si="26"/>
        <v>803.62784736000015</v>
      </c>
      <c r="O105" s="15">
        <f t="shared" si="26"/>
        <v>1265482.2339556948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Actividad'!$I102*'FE Sectorial'!$H105*'FE Sectorial'!I105*'FE Sectorial'!P105/1000</f>
        <v>1254309.7777170762</v>
      </c>
      <c r="I106" s="17">
        <f>'Datos Actividad'!$I102*'FE Sectorial'!$H105*'FE Sectorial'!J105/1000/1000</f>
        <v>8.8599970171440017</v>
      </c>
      <c r="J106" s="17">
        <f>'Datos Actividad'!$I102*'FE Sectorial'!$H105*'FE Sectorial'!K105/1000/1000</f>
        <v>35.439988068576007</v>
      </c>
      <c r="K106" s="17">
        <f>'Datos Actividad'!$I102*'FE Sectorial'!$H105*'FE Sectorial'!L105/1000/1000</f>
        <v>4429.9985085720009</v>
      </c>
      <c r="L106" s="17">
        <f>'Datos Actividad'!$I102*'FE Sectorial'!$H105*'FE Sectorial'!M105/1000/1000</f>
        <v>1771.9994034288004</v>
      </c>
      <c r="M106" s="17">
        <f>'Datos Actividad'!$I102*'FE Sectorial'!$H105*'FE Sectorial'!N105/1000/1000</f>
        <v>885.9997017144002</v>
      </c>
      <c r="N106" s="17">
        <f>'Datos Actividad'!$I102*'FE Sectorial'!$H105*'FE Sectorial'!O105/1000/1000</f>
        <v>803.62784736000015</v>
      </c>
      <c r="O106" s="87">
        <f>IF(D106&lt;400,H106+I106*'Factores generales'!$M$41+J106*'Factores generales'!$N$41,I106*'Factores generales'!$M$41+J106*'Factores generales'!$N$41)</f>
        <v>1265482.2339556948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38150376.832463987</v>
      </c>
      <c r="I107" s="134">
        <f t="shared" si="27"/>
        <v>15034.758993135047</v>
      </c>
      <c r="J107" s="134">
        <f t="shared" si="27"/>
        <v>3033.5826992616708</v>
      </c>
      <c r="K107" s="134">
        <f t="shared" si="27"/>
        <v>381186.01681583369</v>
      </c>
      <c r="L107" s="134">
        <f t="shared" si="27"/>
        <v>2113945.2114591082</v>
      </c>
      <c r="M107" s="134">
        <f t="shared" si="27"/>
        <v>392949.77049409592</v>
      </c>
      <c r="N107" s="134">
        <f t="shared" si="27"/>
        <v>9586.134219208574</v>
      </c>
      <c r="O107" s="134">
        <f t="shared" si="27"/>
        <v>39406517.408090934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36254230.938517205</v>
      </c>
      <c r="I108" s="15">
        <f t="shared" ref="I108:O108" si="28">I109+I110+I111+I112+I113</f>
        <v>14933.953788778492</v>
      </c>
      <c r="J108" s="15">
        <f t="shared" si="28"/>
        <v>2932.7774949051168</v>
      </c>
      <c r="K108" s="15">
        <f t="shared" si="28"/>
        <v>360508.02617859183</v>
      </c>
      <c r="L108" s="15">
        <f t="shared" si="28"/>
        <v>2088097.7231625561</v>
      </c>
      <c r="M108" s="15">
        <f t="shared" si="28"/>
        <v>387780.27283478546</v>
      </c>
      <c r="N108" s="15">
        <f t="shared" si="28"/>
        <v>8648.4113879848155</v>
      </c>
      <c r="O108" s="15">
        <f t="shared" si="28"/>
        <v>37477004.991502136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Actividad'!$I105*'FE Sectorial'!$H108*'FE Sectorial'!I108*'FE Sectorial'!P108/1000</f>
        <v>5072070.9596934961</v>
      </c>
      <c r="I109" s="17">
        <f>'Datos Actividad'!$I105*'FE Sectorial'!$H108*'FE Sectorial'!J108/1000/1000</f>
        <v>8359.6328933759996</v>
      </c>
      <c r="J109" s="17">
        <f>'Datos Actividad'!$I105*'FE Sectorial'!$H108*'FE Sectorial'!K108/1000/1000</f>
        <v>272.596724784</v>
      </c>
      <c r="K109" s="17">
        <f>'Datos Actividad'!$I105*'FE Sectorial'!$H108*'FE Sectorial'!L108/1000/1000</f>
        <v>54519.344956800007</v>
      </c>
      <c r="L109" s="17">
        <f>'Datos Actividad'!$I105*'FE Sectorial'!$H108*'FE Sectorial'!M108/1000/1000</f>
        <v>36346.229971200002</v>
      </c>
      <c r="M109" s="17">
        <f>'Datos Actividad'!$I105*'FE Sectorial'!$H108*'FE Sectorial'!N108/1000/1000</f>
        <v>454.32787464</v>
      </c>
      <c r="N109" s="17">
        <f>'Datos Actividad'!$I105*'FE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5332128.2351374319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Actividad'!$I106*'FE Sectorial'!$H109*'FE Sectorial'!I109*'FE Sectorial'!P109/1000</f>
        <v>15385841.650871985</v>
      </c>
      <c r="I110" s="17">
        <f>'Datos Actividad'!$I106*'FE Sectorial'!$H109*'FE Sectorial'!J109/1000/1000</f>
        <v>817.96074698947291</v>
      </c>
      <c r="J110" s="17">
        <f>'Datos Actividad'!$I106*'FE Sectorial'!$H109*'FE Sectorial'!K109/1000/1000</f>
        <v>817.96074698947291</v>
      </c>
      <c r="K110" s="17">
        <f>'Datos Actividad'!$I106*'FE Sectorial'!$H109*'FE Sectorial'!L109/1000/1000</f>
        <v>167786.81989527648</v>
      </c>
      <c r="L110" s="17">
        <f>'Datos Actividad'!$I106*'FE Sectorial'!$H109*'FE Sectorial'!M109/1000/1000</f>
        <v>209733.52486909562</v>
      </c>
      <c r="M110" s="17">
        <f>'Datos Actividad'!$I106*'FE Sectorial'!$H109*'FE Sectorial'!N109/1000/1000</f>
        <v>41946.70497381912</v>
      </c>
      <c r="N110" s="17">
        <f>'Datos Actividad'!$I106*'FE Sectorial'!$H109*'FE Sectorial'!O109/1000/1000</f>
        <v>7608.9371812974223</v>
      </c>
      <c r="O110" s="87">
        <f>IF(D110&lt;400,H110+I110*'Factores generales'!$M$41+J110*'Factores generales'!$N$41,I110*'Factores generales'!$M$41+J110*'Factores generales'!$N$41)</f>
        <v>15656586.658125499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Actividad'!$I107*'FE Sectorial'!$H110*'FE Sectorial'!I110*'FE Sectorial'!P110/1000</f>
        <v>15796318.327951727</v>
      </c>
      <c r="I111" s="17">
        <f>'Datos Actividad'!$I107*'FE Sectorial'!$H110*'FE Sectorial'!J110/1000/1000</f>
        <v>5756.0884195314356</v>
      </c>
      <c r="J111" s="17">
        <f>'Datos Actividad'!$I107*'FE Sectorial'!$H110*'FE Sectorial'!K110/1000/1000</f>
        <v>1841.9482942500595</v>
      </c>
      <c r="K111" s="17">
        <f>'Datos Actividad'!$I107*'FE Sectorial'!$H110*'FE Sectorial'!L110/1000/1000</f>
        <v>138146.12206875446</v>
      </c>
      <c r="L111" s="17">
        <f>'Datos Actividad'!$I107*'FE Sectorial'!$H110*'FE Sectorial'!M110/1000/1000</f>
        <v>1841948.2942500594</v>
      </c>
      <c r="M111" s="17">
        <f>'Datos Actividad'!$I107*'FE Sectorial'!$H110*'FE Sectorial'!N110/1000/1000</f>
        <v>345365.30517188611</v>
      </c>
      <c r="N111" s="17">
        <f>'Datos Actividad'!$I107*'FE Sectorial'!$H110*'FE Sectorial'!O110/1000/1000</f>
        <v>1039.4742066873923</v>
      </c>
      <c r="O111" s="87">
        <f>IF(D111&lt;400,H111+I111*'Factores generales'!$M$41+J111*'Factores generales'!$N$41,I111*'Factores generales'!$M$41+J111*'Factores generales'!$N$41)</f>
        <v>16488200.155979406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Actividad'!$I108*'FE Sectorial'!$H111*'FE Sectorial'!I111*'FE Sectorial'!P111/1000</f>
        <v>5111.2202625992486</v>
      </c>
      <c r="I112" s="17">
        <f>'Datos Actividad'!$I108*'FE Sectorial'!$H111*'FE Sectorial'!J111/1000/1000</f>
        <v>0.27172888158422376</v>
      </c>
      <c r="J112" s="17">
        <f>'Datos Actividad'!$I108*'FE Sectorial'!$H111*'FE Sectorial'!K111/1000/1000</f>
        <v>0.27172888158422376</v>
      </c>
      <c r="K112" s="17">
        <f>'Datos Actividad'!$I108*'FE Sectorial'!$H111*'FE Sectorial'!L111/1000/1000</f>
        <v>55.739257760866423</v>
      </c>
      <c r="L112" s="17">
        <f>'Datos Actividad'!$I108*'FE Sectorial'!$H111*'FE Sectorial'!M111/1000/1000</f>
        <v>69.674072201083021</v>
      </c>
      <c r="M112" s="17">
        <f>'Datos Actividad'!$I108*'FE Sectorial'!$H111*'FE Sectorial'!N111/1000/1000</f>
        <v>13.934814440216606</v>
      </c>
      <c r="N112" s="17">
        <f>'Datos Actividad'!$I108*'FE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89.942259804378068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Actividad'!$I109*'FE Sectorial'!$H112*'FE Sectorial'!I112*'FE Sectorial'!P112/1000</f>
        <v>0</v>
      </c>
      <c r="I113" s="17">
        <f>'Datos Actividad'!$I109*'FE Sectorial'!$H112*'FE Sectorial'!J112/1000/1000</f>
        <v>0</v>
      </c>
      <c r="J113" s="17">
        <f>'Datos Actividad'!$I109*'FE Sectorial'!$H112*'FE Sectorial'!K112/1000/1000</f>
        <v>0</v>
      </c>
      <c r="K113" s="17">
        <f>'Datos Actividad'!$I109*'FE Sectorial'!$H112*'FE Sectorial'!L112/1000/1000</f>
        <v>0</v>
      </c>
      <c r="L113" s="17">
        <f>'Datos Actividad'!$I109*'FE Sectorial'!$H112*'FE Sectorial'!M112/1000/1000</f>
        <v>0</v>
      </c>
      <c r="M113" s="17">
        <f>'Datos Actividad'!$I109*'FE Sectorial'!$H112*'FE Sectorial'!N112/1000/1000</f>
        <v>0</v>
      </c>
      <c r="N113" s="17">
        <f>'Datos Actividad'!$I109*'FE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1896145.8939467811</v>
      </c>
      <c r="I114" s="15">
        <f t="shared" ref="I114:O114" si="29">I115</f>
        <v>100.80520435655404</v>
      </c>
      <c r="J114" s="15">
        <f t="shared" si="29"/>
        <v>100.80520435655404</v>
      </c>
      <c r="K114" s="15">
        <f t="shared" si="29"/>
        <v>20677.990637241852</v>
      </c>
      <c r="L114" s="15">
        <f t="shared" si="29"/>
        <v>25847.488296552314</v>
      </c>
      <c r="M114" s="15">
        <f t="shared" si="29"/>
        <v>5169.497659310463</v>
      </c>
      <c r="N114" s="15">
        <f t="shared" si="29"/>
        <v>937.72283122375836</v>
      </c>
      <c r="O114" s="15">
        <f t="shared" si="29"/>
        <v>1929512.4165888005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Actividad'!$I111*'FE Sectorial'!$H114*'FE Sectorial'!I114*'FE Sectorial'!P114/1000</f>
        <v>1896145.8939467811</v>
      </c>
      <c r="I115" s="17">
        <f>'Datos Actividad'!$I111*'FE Sectorial'!$H114*'FE Sectorial'!J114/1000/1000</f>
        <v>100.80520435655404</v>
      </c>
      <c r="J115" s="17">
        <f>'Datos Actividad'!$I111*'FE Sectorial'!$H114*'FE Sectorial'!K114/1000/1000</f>
        <v>100.80520435655404</v>
      </c>
      <c r="K115" s="17">
        <f>'Datos Actividad'!$I111*'FE Sectorial'!$H114*'FE Sectorial'!L114/1000/1000</f>
        <v>20677.990637241852</v>
      </c>
      <c r="L115" s="17">
        <f>'Datos Actividad'!$I111*'FE Sectorial'!$H114*'FE Sectorial'!M114/1000/1000</f>
        <v>25847.488296552314</v>
      </c>
      <c r="M115" s="17">
        <f>'Datos Actividad'!$I111*'FE Sectorial'!$H114*'FE Sectorial'!N114/1000/1000</f>
        <v>5169.497659310463</v>
      </c>
      <c r="N115" s="17">
        <f>'Datos Actividad'!$I111*'FE Sectorial'!$H114*'FE Sectorial'!O114/1000/1000</f>
        <v>937.72283122375836</v>
      </c>
      <c r="O115" s="87">
        <f>IF(D115&lt;400,H115+I115*'Factores generales'!$M$41+J115*'Factores generales'!$N$41,I115*'Factores generales'!$M$41+J115*'Factores generales'!$N$41)</f>
        <v>1929512.4165888005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135438.21958277511</v>
      </c>
      <c r="I116" s="134">
        <f t="shared" ref="I116:O116" si="30">I117</f>
        <v>7.6618903102348286</v>
      </c>
      <c r="J116" s="134">
        <f t="shared" si="30"/>
        <v>52.802424788606288</v>
      </c>
      <c r="K116" s="134">
        <f t="shared" si="30"/>
        <v>2215.4863547666978</v>
      </c>
      <c r="L116" s="134">
        <f t="shared" si="30"/>
        <v>1846.2386289722476</v>
      </c>
      <c r="M116" s="134">
        <f t="shared" si="30"/>
        <v>369.24772579444959</v>
      </c>
      <c r="N116" s="134">
        <f t="shared" si="30"/>
        <v>66.979820027830385</v>
      </c>
      <c r="O116" s="134">
        <f t="shared" si="30"/>
        <v>151967.870963758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Actividad'!$I113*'FE Sectorial'!$H116*'FE Sectorial'!I116*'FE Sectorial'!P116/1000</f>
        <v>135438.21958277511</v>
      </c>
      <c r="I117" s="17">
        <f>'Datos Actividad'!$I113*'FE Sectorial'!$H116*'FE Sectorial'!J116/1000/1000</f>
        <v>7.6618903102348286</v>
      </c>
      <c r="J117" s="17">
        <f>'Datos Actividad'!$I113*'FE Sectorial'!$H116*'FE Sectorial'!K116/1000/1000</f>
        <v>52.802424788606288</v>
      </c>
      <c r="K117" s="17">
        <f>'Datos Actividad'!$I113*'FE Sectorial'!$H116*'FE Sectorial'!L116/1000/1000</f>
        <v>2215.4863547666978</v>
      </c>
      <c r="L117" s="17">
        <f>'Datos Actividad'!$I113*'FE Sectorial'!$H116*'FE Sectorial'!M116/1000/1000</f>
        <v>1846.2386289722476</v>
      </c>
      <c r="M117" s="17">
        <f>'Datos Actividad'!$I113*'FE Sectorial'!$H116*'FE Sectorial'!N116/1000/1000</f>
        <v>369.24772579444959</v>
      </c>
      <c r="N117" s="17">
        <f>'Datos Actividad'!$I113*'FE Sectorial'!$H116*'FE Sectorial'!O116/1000/1000</f>
        <v>66.979820027830385</v>
      </c>
      <c r="O117" s="87">
        <f>IF(D117&lt;400,H117+I117*'Factores generales'!$M$41+J117*'Factores generales'!$N$41,I117*'Factores generales'!$M$41+J117*'Factores generales'!$N$41)</f>
        <v>151967.870963758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178178.24202050612</v>
      </c>
      <c r="I118" s="134">
        <f t="shared" ref="I118:O118" si="31">I122</f>
        <v>16.890248092585001</v>
      </c>
      <c r="J118" s="134">
        <f t="shared" si="31"/>
        <v>4.8257851693099996</v>
      </c>
      <c r="K118" s="134">
        <f t="shared" si="31"/>
        <v>3619.3388769825006</v>
      </c>
      <c r="L118" s="134">
        <f t="shared" si="31"/>
        <v>2412.8925846549996</v>
      </c>
      <c r="M118" s="134">
        <f t="shared" si="31"/>
        <v>482.57851693100002</v>
      </c>
      <c r="N118" s="134">
        <f t="shared" si="31"/>
        <v>145.5035006526</v>
      </c>
      <c r="O118" s="134">
        <f t="shared" si="31"/>
        <v>180028.93063293651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2834532.568055124</v>
      </c>
      <c r="I119" s="15">
        <f t="shared" ref="I119:O119" si="32">I120+I121</f>
        <v>261.28609244230501</v>
      </c>
      <c r="J119" s="15">
        <f t="shared" si="32"/>
        <v>74.653169269230006</v>
      </c>
      <c r="K119" s="15">
        <f t="shared" si="32"/>
        <v>55989.876951922488</v>
      </c>
      <c r="L119" s="15">
        <f t="shared" si="32"/>
        <v>37326.584634614992</v>
      </c>
      <c r="M119" s="15">
        <f t="shared" si="32"/>
        <v>7465.3169269229993</v>
      </c>
      <c r="N119" s="15">
        <f t="shared" si="32"/>
        <v>6121.324458327801</v>
      </c>
      <c r="O119" s="15">
        <f t="shared" si="32"/>
        <v>2863162.0584698739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Actividad'!$I116*'FE Sectorial'!$H119*'FE Sectorial'!I119*'FE Sectorial'!P119/1000</f>
        <v>576055.78370458598</v>
      </c>
      <c r="I120" s="17">
        <f>'Datos Actividad'!$I116*'FE Sectorial'!$H119*'FE Sectorial'!J119/1000/1000</f>
        <v>54.967904223504995</v>
      </c>
      <c r="J120" s="17">
        <f>'Datos Actividad'!$I116*'FE Sectorial'!$H119*'FE Sectorial'!K119/1000/1000</f>
        <v>15.705115492429996</v>
      </c>
      <c r="K120" s="17">
        <f>'Datos Actividad'!$I116*'FE Sectorial'!$H119*'FE Sectorial'!L119/1000/1000</f>
        <v>11778.836619322497</v>
      </c>
      <c r="L120" s="17">
        <f>'Datos Actividad'!$I116*'FE Sectorial'!$H119*'FE Sectorial'!M119/1000/1000</f>
        <v>7852.5577462149986</v>
      </c>
      <c r="M120" s="17">
        <f>'Datos Actividad'!$I116*'FE Sectorial'!$H119*'FE Sectorial'!N119/1000/1000</f>
        <v>1570.5115492429998</v>
      </c>
      <c r="N120" s="17">
        <f>'Datos Actividad'!$I116*'FE Sectorial'!$H119*'FE Sectorial'!O119/1000/1000</f>
        <v>284.88349032779996</v>
      </c>
      <c r="O120" s="87">
        <f>IF(D120&lt;400,H120+I120*'Factores generales'!$M$41+J120*'Factores generales'!$N$41,I120*'Factores generales'!$M$41+J120*'Factores generales'!$N$41)</f>
        <v>582078.69549593295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Actividad'!$I117*'FE Sectorial'!$H120*'FE Sectorial'!I120*'FE Sectorial'!P120/1000</f>
        <v>2258476.7843505382</v>
      </c>
      <c r="I121" s="17">
        <f>'Datos Actividad'!$I117*'FE Sectorial'!$H120*'FE Sectorial'!J120/1000/1000</f>
        <v>206.3181882188</v>
      </c>
      <c r="J121" s="17">
        <f>'Datos Actividad'!$I117*'FE Sectorial'!$H120*'FE Sectorial'!K120/1000/1000</f>
        <v>58.948053776800002</v>
      </c>
      <c r="K121" s="17">
        <f>'Datos Actividad'!$I117*'FE Sectorial'!$H120*'FE Sectorial'!L120/1000/1000</f>
        <v>44211.040332599994</v>
      </c>
      <c r="L121" s="17">
        <f>'Datos Actividad'!$I117*'FE Sectorial'!$H120*'FE Sectorial'!M120/1000/1000</f>
        <v>29474.026888399996</v>
      </c>
      <c r="M121" s="17">
        <f>'Datos Actividad'!$I117*'FE Sectorial'!$H120*'FE Sectorial'!N120/1000/1000</f>
        <v>5894.8053776799998</v>
      </c>
      <c r="N121" s="17">
        <f>'Datos Actividad'!$I117*'FE Sectorial'!$H120*'FE Sectorial'!O120/1000/1000</f>
        <v>5836.4409680000008</v>
      </c>
      <c r="O121" s="87">
        <f>IF(D121&lt;400,H121+I121*'Factores generales'!$M$41+J121*'Factores generales'!$N$41,I121*'Factores generales'!$M$41+J121*'Factores generales'!$N$41)</f>
        <v>2281083.362973941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178178.24202050612</v>
      </c>
      <c r="I122" s="15">
        <f t="shared" ref="I122:O122" si="33">I123+I124</f>
        <v>16.890248092585001</v>
      </c>
      <c r="J122" s="15">
        <f t="shared" si="33"/>
        <v>4.8257851693099996</v>
      </c>
      <c r="K122" s="15">
        <f t="shared" si="33"/>
        <v>3619.3388769825006</v>
      </c>
      <c r="L122" s="15">
        <f t="shared" si="33"/>
        <v>2412.8925846549996</v>
      </c>
      <c r="M122" s="15">
        <f t="shared" si="33"/>
        <v>482.57851693100002</v>
      </c>
      <c r="N122" s="15">
        <f t="shared" si="33"/>
        <v>145.5035006526</v>
      </c>
      <c r="O122" s="15">
        <f t="shared" si="33"/>
        <v>180028.93063293651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Actividad'!$I119*'FE Sectorial'!$H122*'FE Sectorial'!I122*'FE Sectorial'!P122/1000</f>
        <v>150716.37248210612</v>
      </c>
      <c r="I123" s="17">
        <f>'Datos Actividad'!$I119*'FE Sectorial'!$H122*'FE Sectorial'!J122/1000/1000</f>
        <v>14.381529292585</v>
      </c>
      <c r="J123" s="17">
        <f>'Datos Actividad'!$I119*'FE Sectorial'!$H122*'FE Sectorial'!K122/1000/1000</f>
        <v>4.1090083693099997</v>
      </c>
      <c r="K123" s="17">
        <f>'Datos Actividad'!$I119*'FE Sectorial'!$H122*'FE Sectorial'!L122/1000/1000</f>
        <v>3081.7562769825004</v>
      </c>
      <c r="L123" s="17">
        <f>'Datos Actividad'!$I119*'FE Sectorial'!$H122*'FE Sectorial'!M122/1000/1000</f>
        <v>2054.5041846549998</v>
      </c>
      <c r="M123" s="17">
        <f>'Datos Actividad'!$I119*'FE Sectorial'!$H122*'FE Sectorial'!N122/1000/1000</f>
        <v>410.90083693100001</v>
      </c>
      <c r="N123" s="17">
        <f>'Datos Actividad'!$I119*'FE Sectorial'!$H122*'FE Sectorial'!O122/1000/1000</f>
        <v>74.535500652600007</v>
      </c>
      <c r="O123" s="87">
        <f>IF(D123&lt;400,H123+I123*'Factores generales'!$M$41+J123*'Factores generales'!$N$41,I123*'Factores generales'!$M$41+J123*'Factores generales'!$N$41)</f>
        <v>152292.1771917365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Actividad'!$I120*'FE Sectorial'!$H123*'FE Sectorial'!I123*'FE Sectorial'!P123/1000</f>
        <v>27461.869538399998</v>
      </c>
      <c r="I124" s="17">
        <f>'Datos Actividad'!$I120*'FE Sectorial'!$H123*'FE Sectorial'!J123/1000/1000</f>
        <v>2.5087187999999996</v>
      </c>
      <c r="J124" s="17">
        <f>'Datos Actividad'!$I120*'FE Sectorial'!$H123*'FE Sectorial'!K123/1000/1000</f>
        <v>0.71677679999999999</v>
      </c>
      <c r="K124" s="17">
        <f>'Datos Actividad'!$I120*'FE Sectorial'!$H123*'FE Sectorial'!L123/1000/1000</f>
        <v>537.58259999999996</v>
      </c>
      <c r="L124" s="17">
        <f>'Datos Actividad'!$I120*'FE Sectorial'!$H123*'FE Sectorial'!M123/1000/1000</f>
        <v>358.38839999999999</v>
      </c>
      <c r="M124" s="17">
        <f>'Datos Actividad'!$I120*'FE Sectorial'!$H123*'FE Sectorial'!N123/1000/1000</f>
        <v>71.677679999999995</v>
      </c>
      <c r="N124" s="17">
        <f>'Datos Actividad'!$I120*'FE Sectorial'!$H123*'FE Sectorial'!O123/1000/1000</f>
        <v>70.968000000000004</v>
      </c>
      <c r="O124" s="87">
        <f>IF(D124&lt;400,H124+I124*'Factores generales'!$M$41+J124*'Factores generales'!$N$41,I124*'Factores generales'!$M$41+J124*'Factores generales'!$N$41)</f>
        <v>27736.753441199999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2522934.1231380003</v>
      </c>
      <c r="I125" s="134">
        <f t="shared" si="34"/>
        <v>45.214654500000002</v>
      </c>
      <c r="J125" s="134">
        <f t="shared" si="34"/>
        <v>4.5287668500000002</v>
      </c>
      <c r="K125" s="134">
        <f t="shared" si="34"/>
        <v>6776.1136749999996</v>
      </c>
      <c r="L125" s="134">
        <f t="shared" si="34"/>
        <v>903.19788000000005</v>
      </c>
      <c r="M125" s="134">
        <f t="shared" si="34"/>
        <v>225.82989250000003</v>
      </c>
      <c r="N125" s="134">
        <f t="shared" si="34"/>
        <v>0.88296000000000008</v>
      </c>
      <c r="O125" s="134">
        <f t="shared" si="34"/>
        <v>2525287.5486060004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2522934.1231380003</v>
      </c>
      <c r="I126" s="15">
        <f t="shared" si="35"/>
        <v>45.214654500000002</v>
      </c>
      <c r="J126" s="15">
        <f t="shared" si="35"/>
        <v>4.5287668500000002</v>
      </c>
      <c r="K126" s="15">
        <f t="shared" si="35"/>
        <v>6776.1136749999996</v>
      </c>
      <c r="L126" s="15">
        <f t="shared" si="35"/>
        <v>903.19788000000005</v>
      </c>
      <c r="M126" s="15">
        <f t="shared" si="35"/>
        <v>225.82989250000003</v>
      </c>
      <c r="N126" s="15">
        <f t="shared" si="35"/>
        <v>0.88296000000000008</v>
      </c>
      <c r="O126" s="15">
        <f t="shared" si="35"/>
        <v>2525287.5486060004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Actividad'!$I123*'FE Sectorial'!$H126*'FE Sectorial'!I126*'FE Sectorial'!P126/1000</f>
        <v>2468736.1713960003</v>
      </c>
      <c r="I127" s="17">
        <f>'Datos Actividad'!$I123*'FE Sectorial'!$H126*'FE Sectorial'!J126/1000/1000</f>
        <v>44.227128</v>
      </c>
      <c r="J127" s="17">
        <f>'Datos Actividad'!$I123*'FE Sectorial'!$H126*'FE Sectorial'!K126/1000/1000</f>
        <v>4.4227128000000002</v>
      </c>
      <c r="K127" s="17">
        <f>'Datos Actividad'!$I123*'FE Sectorial'!$H126*'FE Sectorial'!L126/1000/1000</f>
        <v>6634.0691999999999</v>
      </c>
      <c r="L127" s="17">
        <f>'Datos Actividad'!$I123*'FE Sectorial'!$H126*'FE Sectorial'!M126/1000/1000</f>
        <v>884.54256000000009</v>
      </c>
      <c r="M127" s="17">
        <f>'Datos Actividad'!$I123*'FE Sectorial'!$H126*'FE Sectorial'!N126/1000/1000</f>
        <v>221.13564000000002</v>
      </c>
      <c r="N127" s="17">
        <f>'Datos Actividad'!$I123*'FE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2471035.9820520002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Actividad'!$I124*'FE Sectorial'!$H127*'FE Sectorial'!I127*'FE Sectorial'!P127/1000</f>
        <v>1785.4113419999996</v>
      </c>
      <c r="I128" s="17">
        <f>'Datos Actividad'!$I124*'FE Sectorial'!$H127*'FE Sectorial'!J127/1000/1000</f>
        <v>7.3013999999999996E-2</v>
      </c>
      <c r="J128" s="17">
        <f>'Datos Actividad'!$I124*'FE Sectorial'!$H127*'FE Sectorial'!K127/1000/1000</f>
        <v>1.4602799999999999E-2</v>
      </c>
      <c r="K128" s="17">
        <f>'Datos Actividad'!$I124*'FE Sectorial'!$H127*'FE Sectorial'!L127/1000/1000</f>
        <v>4.8676000000000004</v>
      </c>
      <c r="L128" s="17">
        <f>'Datos Actividad'!$I124*'FE Sectorial'!$H127*'FE Sectorial'!M127/1000/1000</f>
        <v>0.36507000000000001</v>
      </c>
      <c r="M128" s="17">
        <f>'Datos Actividad'!$I124*'FE Sectorial'!$H127*'FE Sectorial'!N127/1000/1000</f>
        <v>0.12168999999999999</v>
      </c>
      <c r="N128" s="17">
        <f>'Datos Actividad'!$I124*'FE Sectorial'!$H127*'FE Sectorial'!O127/1000/1000</f>
        <v>0.88296000000000008</v>
      </c>
      <c r="O128" s="87">
        <f>IF(D128&lt;400,H128+I128*'Factores generales'!$M$41+J128*'Factores generales'!$N$41,I128*'Factores generales'!$M$41+J128*'Factores generales'!$N$41)</f>
        <v>1791.4715039999996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Actividad'!$I125*'FE Sectorial'!$H128*'FE Sectorial'!I128*'FE Sectorial'!P128/1000</f>
        <v>52412.540399999998</v>
      </c>
      <c r="I129" s="17">
        <f>'Datos Actividad'!$I125*'FE Sectorial'!$H128*'FE Sectorial'!J128/1000/1000</f>
        <v>0.91451250000000006</v>
      </c>
      <c r="J129" s="17">
        <f>'Datos Actividad'!$I125*'FE Sectorial'!$H128*'FE Sectorial'!K128/1000/1000</f>
        <v>9.1451249999999998E-2</v>
      </c>
      <c r="K129" s="17">
        <f>'Datos Actividad'!$I125*'FE Sectorial'!$H128*'FE Sectorial'!L128/1000/1000</f>
        <v>137.176875</v>
      </c>
      <c r="L129" s="17">
        <f>'Datos Actividad'!$I125*'FE Sectorial'!$H128*'FE Sectorial'!M128/1000/1000</f>
        <v>18.29025</v>
      </c>
      <c r="M129" s="17">
        <f>'Datos Actividad'!$I125*'FE Sectorial'!$H128*'FE Sectorial'!N128/1000/1000</f>
        <v>4.5725625000000001</v>
      </c>
      <c r="N129" s="17">
        <f>'Datos Actividad'!$I125*'FE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52460.095049999996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38805149.824644566</v>
      </c>
      <c r="I131" s="129">
        <f t="shared" si="36"/>
        <v>3337.508093285116</v>
      </c>
      <c r="J131" s="129">
        <f t="shared" si="36"/>
        <v>224.47561851847638</v>
      </c>
      <c r="K131" s="129">
        <f t="shared" si="36"/>
        <v>274022.01805084979</v>
      </c>
      <c r="L131" s="129">
        <f t="shared" si="36"/>
        <v>295808.22697184357</v>
      </c>
      <c r="M131" s="129">
        <f t="shared" si="36"/>
        <v>40806.081037961696</v>
      </c>
      <c r="N131" s="129">
        <f t="shared" si="36"/>
        <v>10901.956972160033</v>
      </c>
      <c r="O131" s="129">
        <f t="shared" si="36"/>
        <v>38944824.936344281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4308388.3066094304</v>
      </c>
      <c r="I132" s="134">
        <f>SUM(I133:I137)</f>
        <v>165.40443502606144</v>
      </c>
      <c r="J132" s="134">
        <f t="shared" ref="J132:O132" si="37">SUM(J133:J137)</f>
        <v>21.283533605393345</v>
      </c>
      <c r="K132" s="134">
        <f t="shared" si="37"/>
        <v>10943.494916599506</v>
      </c>
      <c r="L132" s="134">
        <f t="shared" si="37"/>
        <v>16352.621837196732</v>
      </c>
      <c r="M132" s="134">
        <f t="shared" si="37"/>
        <v>1914.6583021388496</v>
      </c>
      <c r="N132" s="134">
        <f t="shared" si="37"/>
        <v>1698.4968502002064</v>
      </c>
      <c r="O132" s="134">
        <f t="shared" si="37"/>
        <v>4318459.6951626493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Actividad'!$I129*'FE Sectorial'!$H132*'FE Sectorial'!I132*'FE Sectorial'!P132/1000</f>
        <v>251141.00869565216</v>
      </c>
      <c r="I133" s="17">
        <f>'Datos Actividad'!$I129*'FE Sectorial'!$H132*'FE Sectorial'!J132/1000/1000</f>
        <v>77.321739130434779</v>
      </c>
      <c r="J133" s="17">
        <f>'Datos Actividad'!$I129*'FE Sectorial'!$H132*'FE Sectorial'!K132/1000/1000</f>
        <v>10.309565217391304</v>
      </c>
      <c r="K133" s="17">
        <f>'Datos Actividad'!$I129*'FE Sectorial'!$H132*'FE Sectorial'!L132/1000/1000</f>
        <v>257.73913043478262</v>
      </c>
      <c r="L133" s="17">
        <f>'Datos Actividad'!$I129*'FE Sectorial'!$H132*'FE Sectorial'!M132/1000/1000</f>
        <v>12886.95652173913</v>
      </c>
      <c r="M133" s="17">
        <f>'Datos Actividad'!$I129*'FE Sectorial'!$H132*'FE Sectorial'!N132/1000/1000</f>
        <v>1546.4347826086957</v>
      </c>
      <c r="N133" s="17">
        <f>'Datos Actividad'!$I129*'FE Sectorial'!$H132*'FE Sectorial'!O132/1000/1000</f>
        <v>660.86956521739137</v>
      </c>
      <c r="O133" s="87">
        <f>IF(D133&lt;400,H133+I133*'Factores generales'!$M$41+J133*'Factores generales'!$N$41,I133*'Factores generales'!$M$41+J133*'Factores generales'!$N$41)</f>
        <v>4819.7217391304348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Actividad'!$I130*'FE Sectorial'!$H133*'FE Sectorial'!I133*'FE Sectorial'!P133/1000</f>
        <v>3237666.0965866805</v>
      </c>
      <c r="I134" s="17">
        <f>'Datos Actividad'!$I130*'FE Sectorial'!$H133*'FE Sectorial'!J133/1000/1000</f>
        <v>58.002420239999999</v>
      </c>
      <c r="J134" s="17">
        <f>'Datos Actividad'!$I130*'FE Sectorial'!$H133*'FE Sectorial'!K133/1000/1000</f>
        <v>5.8002420240000001</v>
      </c>
      <c r="K134" s="17">
        <f>'Datos Actividad'!$I130*'FE Sectorial'!$H133*'FE Sectorial'!L133/1000/1000</f>
        <v>8700.3630360000006</v>
      </c>
      <c r="L134" s="17">
        <f>'Datos Actividad'!$I130*'FE Sectorial'!$H133*'FE Sectorial'!M133/1000/1000</f>
        <v>2900.1210120000001</v>
      </c>
      <c r="M134" s="17">
        <f>'Datos Actividad'!$I130*'FE Sectorial'!$H133*'FE Sectorial'!N133/1000/1000</f>
        <v>290.01210119999996</v>
      </c>
      <c r="N134" s="17">
        <f>'Datos Actividad'!$I130*'FE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3240682.2224391606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Actividad'!$I131*'FE Sectorial'!$H134*'FE Sectorial'!I134*'FE Sectorial'!P134/1000</f>
        <v>526194.35753424652</v>
      </c>
      <c r="I135" s="17">
        <f>'Datos Actividad'!$I131*'FE Sectorial'!$H134*'FE Sectorial'!J134/1000/1000</f>
        <v>8.4232876712328757</v>
      </c>
      <c r="J135" s="17">
        <f>'Datos Actividad'!$I131*'FE Sectorial'!$H134*'FE Sectorial'!K134/1000/1000</f>
        <v>0.84232876712328753</v>
      </c>
      <c r="K135" s="17">
        <f>'Datos Actividad'!$I131*'FE Sectorial'!$H134*'FE Sectorial'!L134/1000/1000</f>
        <v>1263.4931506849314</v>
      </c>
      <c r="L135" s="17">
        <f>'Datos Actividad'!$I131*'FE Sectorial'!$H134*'FE Sectorial'!M134/1000/1000</f>
        <v>421.16438356164377</v>
      </c>
      <c r="M135" s="17">
        <f>'Datos Actividad'!$I131*'FE Sectorial'!$H134*'FE Sectorial'!N134/1000/1000</f>
        <v>42.116438356164387</v>
      </c>
      <c r="N135" s="17">
        <f>'Datos Actividad'!$I131*'FE Sectorial'!$H134*'FE Sectorial'!O134/1000/1000</f>
        <v>35.616438356164394</v>
      </c>
      <c r="O135" s="87">
        <f>IF(D135&lt;400,H135+I135*'Factores generales'!$M$41+J135*'Factores generales'!$N$41,I135*'Factores generales'!$M$41+J135*'Factores generales'!$N$41)</f>
        <v>526632.36849315057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Actividad'!$I132*'FE Sectorial'!$H135*'FE Sectorial'!I135*'FE Sectorial'!P135/1000</f>
        <v>193893.53167217644</v>
      </c>
      <c r="I136" s="17">
        <f>'Datos Actividad'!$I132*'FE Sectorial'!$H135*'FE Sectorial'!J135/1000/1000</f>
        <v>7.9292328823529408</v>
      </c>
      <c r="J136" s="17">
        <f>'Datos Actividad'!$I132*'FE Sectorial'!$H135*'FE Sectorial'!K135/1000/1000</f>
        <v>1.5858465764705882</v>
      </c>
      <c r="K136" s="17">
        <f>'Datos Actividad'!$I132*'FE Sectorial'!$H135*'FE Sectorial'!L135/1000/1000</f>
        <v>264.30776274509805</v>
      </c>
      <c r="L136" s="17">
        <f>'Datos Actividad'!$I132*'FE Sectorial'!$H135*'FE Sectorial'!M135/1000/1000</f>
        <v>52.861552549019599</v>
      </c>
      <c r="M136" s="17">
        <f>'Datos Actividad'!$I132*'FE Sectorial'!$H135*'FE Sectorial'!N135/1000/1000</f>
        <v>13.2153881372549</v>
      </c>
      <c r="N136" s="17">
        <f>'Datos Actividad'!$I132*'FE Sectorial'!$H135*'FE Sectorial'!O135/1000/1000</f>
        <v>95.88839764705881</v>
      </c>
      <c r="O136" s="87">
        <f>IF(D136&lt;400,H136+I136*'Factores generales'!$M$41+J136*'Factores generales'!$N$41,I136*'Factores generales'!$M$41+J136*'Factores generales'!$N$41)</f>
        <v>194551.65800141174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Actividad'!$I133*'FE Sectorial'!$H136*'FE Sectorial'!I136*'FE Sectorial'!P136/1000</f>
        <v>350634.32081632648</v>
      </c>
      <c r="I137" s="17">
        <f>'Datos Actividad'!$I133*'FE Sectorial'!$H136*'FE Sectorial'!J136/1000/1000</f>
        <v>13.727755102040815</v>
      </c>
      <c r="J137" s="17">
        <f>'Datos Actividad'!$I133*'FE Sectorial'!$H136*'FE Sectorial'!K136/1000/1000</f>
        <v>2.7455510204081635</v>
      </c>
      <c r="K137" s="17">
        <f>'Datos Actividad'!$I133*'FE Sectorial'!$H136*'FE Sectorial'!L136/1000/1000</f>
        <v>457.59183673469391</v>
      </c>
      <c r="L137" s="17">
        <f>'Datos Actividad'!$I133*'FE Sectorial'!$H136*'FE Sectorial'!M136/1000/1000</f>
        <v>91.518367346938774</v>
      </c>
      <c r="M137" s="17">
        <f>'Datos Actividad'!$I133*'FE Sectorial'!$H136*'FE Sectorial'!N136/1000/1000</f>
        <v>22.879591836734694</v>
      </c>
      <c r="N137" s="17">
        <f>'Datos Actividad'!$I133*'FE Sectorial'!$H136*'FE Sectorial'!O136/1000/1000</f>
        <v>906.12244897959181</v>
      </c>
      <c r="O137" s="87">
        <f>IF(D137&lt;400,H137+I137*'Factores generales'!$M$41+J137*'Factores generales'!$N$41,I137*'Factores generales'!$M$41+J137*'Factores generales'!$N$41)</f>
        <v>351773.72448979586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21715128.263779752</v>
      </c>
      <c r="I138" s="134">
        <f>SUM(I139:I144)</f>
        <v>2655.7488980917028</v>
      </c>
      <c r="J138" s="134">
        <f t="shared" ref="J138:O138" si="38">SUM(J139:J144)</f>
        <v>100.27102329057166</v>
      </c>
      <c r="K138" s="134">
        <f t="shared" si="38"/>
        <v>57411.345094706972</v>
      </c>
      <c r="L138" s="134">
        <f t="shared" si="38"/>
        <v>108328.70790991325</v>
      </c>
      <c r="M138" s="134">
        <f t="shared" si="38"/>
        <v>4683.5378114240666</v>
      </c>
      <c r="N138" s="134">
        <f t="shared" si="38"/>
        <v>1650.2324293238742</v>
      </c>
      <c r="O138" s="134">
        <f t="shared" si="38"/>
        <v>21801983.007859755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Actividad'!$I135*'FE Sectorial'!$H138*'FE Sectorial'!I138*'FE Sectorial'!P138/1000</f>
        <v>277576.90434782609</v>
      </c>
      <c r="I139" s="17">
        <f>'Datos Actividad'!$I135*'FE Sectorial'!$H138*'FE Sectorial'!J138/1000/1000</f>
        <v>85.460869565217394</v>
      </c>
      <c r="J139" s="17">
        <f>'Datos Actividad'!$I135*'FE Sectorial'!$H138*'FE Sectorial'!K138/1000/1000</f>
        <v>11.394782608695651</v>
      </c>
      <c r="K139" s="17">
        <f>'Datos Actividad'!$I135*'FE Sectorial'!$H138*'FE Sectorial'!L138/1000/1000</f>
        <v>284.86956521739131</v>
      </c>
      <c r="L139" s="17">
        <f>'Datos Actividad'!$I135*'FE Sectorial'!$H138*'FE Sectorial'!M138/1000/1000</f>
        <v>14243.478260869566</v>
      </c>
      <c r="M139" s="17">
        <f>'Datos Actividad'!$I135*'FE Sectorial'!$H138*'FE Sectorial'!N138/1000/1000</f>
        <v>1709.2173913043478</v>
      </c>
      <c r="N139" s="17">
        <f>'Datos Actividad'!$I135*'FE Sectorial'!$H138*'FE Sectorial'!O138/1000/1000</f>
        <v>730.43478260869563</v>
      </c>
      <c r="O139" s="87">
        <f>IF(D139&lt;400,H139+I139*'Factores generales'!$M$41+J139*'Factores generales'!$N$41,I139*'Factores generales'!$M$41+J139*'Factores generales'!$N$41)</f>
        <v>5327.0608695652172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Actividad'!$I136*'FE Sectorial'!$H139*'FE Sectorial'!I139*'FE Sectorial'!P139/1000</f>
        <v>0</v>
      </c>
      <c r="I140" s="17">
        <f>'Datos Actividad'!$I136*'FE Sectorial'!$H139*'FE Sectorial'!J139/1000/1000</f>
        <v>0</v>
      </c>
      <c r="J140" s="17">
        <f>'Datos Actividad'!$I136*'FE Sectorial'!$H139*'FE Sectorial'!K139/1000/1000</f>
        <v>0</v>
      </c>
      <c r="K140" s="17">
        <f>'Datos Actividad'!$I136*'FE Sectorial'!$H139*'FE Sectorial'!L139/1000/1000</f>
        <v>0</v>
      </c>
      <c r="L140" s="17">
        <f>'Datos Actividad'!$I136*'FE Sectorial'!$H139*'FE Sectorial'!M139/1000/1000</f>
        <v>0</v>
      </c>
      <c r="M140" s="17">
        <f>'Datos Actividad'!$I136*'FE Sectorial'!$H139*'FE Sectorial'!N139/1000/1000</f>
        <v>0</v>
      </c>
      <c r="N140" s="17">
        <f>'Datos Actividad'!$I136*'FE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Actividad'!$I137*'FE Sectorial'!$H140*'FE Sectorial'!I140*'FE Sectorial'!P140/1000</f>
        <v>17458289.595370799</v>
      </c>
      <c r="I141" s="17">
        <f>'Datos Actividad'!$I137*'FE Sectorial'!$H140*'FE Sectorial'!J140/1000/1000</f>
        <v>312.7632744</v>
      </c>
      <c r="J141" s="17">
        <f>'Datos Actividad'!$I137*'FE Sectorial'!$H140*'FE Sectorial'!K140/1000/1000</f>
        <v>31.276327439999996</v>
      </c>
      <c r="K141" s="17">
        <f>'Datos Actividad'!$I137*'FE Sectorial'!$H140*'FE Sectorial'!L140/1000/1000</f>
        <v>46914.491159999998</v>
      </c>
      <c r="L141" s="17">
        <f>'Datos Actividad'!$I137*'FE Sectorial'!$H140*'FE Sectorial'!M140/1000/1000</f>
        <v>15638.163719999999</v>
      </c>
      <c r="M141" s="17">
        <f>'Datos Actividad'!$I137*'FE Sectorial'!$H140*'FE Sectorial'!N140/1000/1000</f>
        <v>1563.816372</v>
      </c>
      <c r="N141" s="17">
        <f>'Datos Actividad'!$I137*'FE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17474553.285639599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Actividad'!$I138*'FE Sectorial'!$H141*'FE Sectorial'!I141*'FE Sectorial'!P141/1000</f>
        <v>3154467.7126027392</v>
      </c>
      <c r="I142" s="17">
        <f>'Datos Actividad'!$I138*'FE Sectorial'!$H141*'FE Sectorial'!J141/1000/1000</f>
        <v>50.496529680365299</v>
      </c>
      <c r="J142" s="17">
        <f>'Datos Actividad'!$I138*'FE Sectorial'!$H141*'FE Sectorial'!K141/1000/1000</f>
        <v>5.0496529680365292</v>
      </c>
      <c r="K142" s="17">
        <f>'Datos Actividad'!$I138*'FE Sectorial'!$H141*'FE Sectorial'!L141/1000/1000</f>
        <v>7574.4794520547939</v>
      </c>
      <c r="L142" s="17">
        <f>'Datos Actividad'!$I138*'FE Sectorial'!$H141*'FE Sectorial'!M141/1000/1000</f>
        <v>2524.8264840182646</v>
      </c>
      <c r="M142" s="17">
        <f>'Datos Actividad'!$I138*'FE Sectorial'!$H141*'FE Sectorial'!N141/1000/1000</f>
        <v>252.48264840182648</v>
      </c>
      <c r="N142" s="17">
        <f>'Datos Actividad'!$I138*'FE Sectorial'!$H141*'FE Sectorial'!O141/1000/1000</f>
        <v>213.51598173515984</v>
      </c>
      <c r="O142" s="87">
        <f>IF(D142&lt;400,H142+I142*'Factores generales'!$M$41+J142*'Factores generales'!$N$41,I142*'Factores generales'!$M$41+J142*'Factores generales'!$N$41)</f>
        <v>3157093.5321461181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Actividad'!$I139*'FE Sectorial'!$H142*'FE Sectorial'!I142*'FE Sectorial'!P142/1000</f>
        <v>1102370.9558062144</v>
      </c>
      <c r="I143" s="17">
        <f>'Datos Actividad'!$I139*'FE Sectorial'!$H142*'FE Sectorial'!J142/1000/1000</f>
        <v>46.72053213842824</v>
      </c>
      <c r="J143" s="17">
        <f>'Datos Actividad'!$I139*'FE Sectorial'!$H142*'FE Sectorial'!K142/1000/1000</f>
        <v>9.3441064276856487</v>
      </c>
      <c r="K143" s="17">
        <f>'Datos Actividad'!$I139*'FE Sectorial'!$H142*'FE Sectorial'!L142/1000/1000</f>
        <v>1557.3510712809416</v>
      </c>
      <c r="L143" s="17">
        <f>'Datos Actividad'!$I139*'FE Sectorial'!$H142*'FE Sectorial'!M142/1000/1000</f>
        <v>311.47021425618823</v>
      </c>
      <c r="M143" s="17">
        <f>'Datos Actividad'!$I139*'FE Sectorial'!$H142*'FE Sectorial'!N142/1000/1000</f>
        <v>77.867553564047057</v>
      </c>
      <c r="N143" s="17">
        <f>'Datos Actividad'!$I139*'FE Sectorial'!$H142*'FE Sectorial'!O142/1000/1000</f>
        <v>706.28166498001872</v>
      </c>
      <c r="O143" s="87">
        <f>IF(D143&lt;400,H143+I143*'Factores generales'!$M$41+J143*'Factores generales'!$N$41,I143*'Factores generales'!$M$41+J143*'Factores generales'!$N$41)</f>
        <v>1106248.7599737041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Actividad'!$I140*'FE Sectorial'!$H143*'FE Sectorial'!I143*'FE Sectorial'!P143/1000</f>
        <v>1052501.9076923074</v>
      </c>
      <c r="I144" s="17">
        <f>'Datos Actividad'!$I140*'FE Sectorial'!$H143*'FE Sectorial'!J143/1000/1000</f>
        <v>2160.3076923076919</v>
      </c>
      <c r="J144" s="17">
        <f>'Datos Actividad'!$I140*'FE Sectorial'!$H143*'FE Sectorial'!K143/1000/1000</f>
        <v>43.206153846153846</v>
      </c>
      <c r="K144" s="17">
        <f>'Datos Actividad'!$I140*'FE Sectorial'!$H143*'FE Sectorial'!L143/1000/1000</f>
        <v>1080.153846153846</v>
      </c>
      <c r="L144" s="17">
        <f>'Datos Actividad'!$I140*'FE Sectorial'!$H143*'FE Sectorial'!M143/1000/1000</f>
        <v>75610.769230769234</v>
      </c>
      <c r="M144" s="17">
        <f>'Datos Actividad'!$I140*'FE Sectorial'!$H143*'FE Sectorial'!N143/1000/1000</f>
        <v>1080.153846153846</v>
      </c>
      <c r="N144" s="17">
        <f>'Datos Actividad'!$I140*'FE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58760.369230769225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12781633.254255384</v>
      </c>
      <c r="I145" s="134">
        <f t="shared" ref="I145:O145" si="39">SUM(I146:I149)</f>
        <v>516.35476016735151</v>
      </c>
      <c r="J145" s="134">
        <f t="shared" si="39"/>
        <v>102.92106162251139</v>
      </c>
      <c r="K145" s="134">
        <f t="shared" si="39"/>
        <v>205667.17803954333</v>
      </c>
      <c r="L145" s="134">
        <f t="shared" si="39"/>
        <v>171126.89722473361</v>
      </c>
      <c r="M145" s="134">
        <f t="shared" si="39"/>
        <v>34207.884924398779</v>
      </c>
      <c r="N145" s="134">
        <f t="shared" si="39"/>
        <v>7553.2276926359518</v>
      </c>
      <c r="O145" s="134">
        <f t="shared" si="39"/>
        <v>12824382.233321879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Actividad'!$I142*'FE Sectorial'!$H145*'FE Sectorial'!I145*'FE Sectorial'!P145/1000</f>
        <v>218573.04082191782</v>
      </c>
      <c r="I146" s="17">
        <f>'Datos Actividad'!$I142*'FE Sectorial'!$H145*'FE Sectorial'!J145/1000/1000</f>
        <v>3.498904109589041</v>
      </c>
      <c r="J146" s="17">
        <f>'Datos Actividad'!$I142*'FE Sectorial'!$H145*'FE Sectorial'!K145/1000/1000</f>
        <v>0.34989041095890411</v>
      </c>
      <c r="K146" s="17">
        <f>'Datos Actividad'!$I142*'FE Sectorial'!$H145*'FE Sectorial'!L145/1000/1000</f>
        <v>524.83561643835606</v>
      </c>
      <c r="L146" s="17">
        <f>'Datos Actividad'!$I142*'FE Sectorial'!$H145*'FE Sectorial'!M145/1000/1000</f>
        <v>174.94520547945206</v>
      </c>
      <c r="M146" s="17">
        <f>'Datos Actividad'!$I142*'FE Sectorial'!$H145*'FE Sectorial'!N145/1000/1000</f>
        <v>17.494520547945204</v>
      </c>
      <c r="N146" s="17">
        <f>'Datos Actividad'!$I142*'FE Sectorial'!$H145*'FE Sectorial'!O145/1000/1000</f>
        <v>14.79452054794521</v>
      </c>
      <c r="O146" s="87">
        <f>IF(D146&lt;400,H146+I146*'Factores generales'!$M$41+J146*'Factores generales'!$N$41,I146*'Factores generales'!$M$41+J146*'Factores generales'!$N$41)</f>
        <v>218754.98383561644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Actividad'!$I143*'FE Sectorial'!$H146*'FE Sectorial'!I146*'FE Sectorial'!P146/1000</f>
        <v>80102.120588330392</v>
      </c>
      <c r="I147" s="17">
        <f>'Datos Actividad'!$I143*'FE Sectorial'!$H146*'FE Sectorial'!J146/1000/1000</f>
        <v>3.5026507756495864</v>
      </c>
      <c r="J147" s="17">
        <f>'Datos Actividad'!$I143*'FE Sectorial'!$H146*'FE Sectorial'!K146/1000/1000</f>
        <v>0.70053015512991712</v>
      </c>
      <c r="K147" s="17">
        <f>'Datos Actividad'!$I143*'FE Sectorial'!$H146*'FE Sectorial'!L146/1000/1000</f>
        <v>1401.0603102598345</v>
      </c>
      <c r="L147" s="17">
        <f>'Datos Actividad'!$I143*'FE Sectorial'!$H146*'FE Sectorial'!M146/1000/1000</f>
        <v>1167.5502585498621</v>
      </c>
      <c r="M147" s="17">
        <f>'Datos Actividad'!$I143*'FE Sectorial'!$H146*'FE Sectorial'!N146/1000/1000</f>
        <v>233.5100517099724</v>
      </c>
      <c r="N147" s="17">
        <f>'Datos Actividad'!$I143*'FE Sectorial'!$H146*'FE Sectorial'!O146/1000/1000</f>
        <v>5.2711072620761268</v>
      </c>
      <c r="O147" s="87">
        <f>IF(D147&lt;400,H147+I147*'Factores generales'!$M$41+J147*'Factores generales'!$N$41,I147*'Factores generales'!$M$41+J147*'Factores generales'!$N$41)</f>
        <v>80392.840602709301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Actividad'!$I144*'FE Sectorial'!$H147*'FE Sectorial'!I147*'FE Sectorial'!P147/1000</f>
        <v>11832231.335294116</v>
      </c>
      <c r="I148" s="17">
        <f>'Datos Actividad'!$I144*'FE Sectorial'!$H147*'FE Sectorial'!J147/1000/1000</f>
        <v>483.87647058823529</v>
      </c>
      <c r="J148" s="17">
        <f>'Datos Actividad'!$I144*'FE Sectorial'!$H147*'FE Sectorial'!K147/1000/1000</f>
        <v>96.775294117647064</v>
      </c>
      <c r="K148" s="17">
        <f>'Datos Actividad'!$I144*'FE Sectorial'!$H147*'FE Sectorial'!L147/1000/1000</f>
        <v>193550.58823529413</v>
      </c>
      <c r="L148" s="17">
        <f>'Datos Actividad'!$I144*'FE Sectorial'!$H147*'FE Sectorial'!M147/1000/1000</f>
        <v>161292.15686274512</v>
      </c>
      <c r="M148" s="17">
        <f>'Datos Actividad'!$I144*'FE Sectorial'!$H147*'FE Sectorial'!N147/1000/1000</f>
        <v>32258.431372549025</v>
      </c>
      <c r="N148" s="17">
        <f>'Datos Actividad'!$I144*'FE Sectorial'!$H147*'FE Sectorial'!O147/1000/1000</f>
        <v>5851.5294117647063</v>
      </c>
      <c r="O148" s="87">
        <f>IF(D148&lt;400,H148+I148*'Factores generales'!$M$41+J148*'Factores generales'!$N$41,I148*'Factores generales'!$M$41+J148*'Factores generales'!$N$41)</f>
        <v>11872393.08235294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Actividad'!$I145*'FE Sectorial'!$H148*'FE Sectorial'!I148*'FE Sectorial'!P148/1000</f>
        <v>650726.75755102036</v>
      </c>
      <c r="I149" s="17">
        <f>'Datos Actividad'!$I145*'FE Sectorial'!$H148*'FE Sectorial'!J148/1000/1000</f>
        <v>25.47673469387755</v>
      </c>
      <c r="J149" s="17">
        <f>'Datos Actividad'!$I145*'FE Sectorial'!$H148*'FE Sectorial'!K148/1000/1000</f>
        <v>5.0953469387755081</v>
      </c>
      <c r="K149" s="17">
        <f>'Datos Actividad'!$I145*'FE Sectorial'!$H148*'FE Sectorial'!L148/1000/1000</f>
        <v>10190.693877551017</v>
      </c>
      <c r="L149" s="17">
        <f>'Datos Actividad'!$I145*'FE Sectorial'!$H148*'FE Sectorial'!M148/1000/1000</f>
        <v>8492.2448979591827</v>
      </c>
      <c r="M149" s="17">
        <f>'Datos Actividad'!$I145*'FE Sectorial'!$H148*'FE Sectorial'!N148/1000/1000</f>
        <v>1698.4489795918364</v>
      </c>
      <c r="N149" s="17">
        <f>'Datos Actividad'!$I145*'FE Sectorial'!$H148*'FE Sectorial'!O148/1000/1000</f>
        <v>1681.6326530612241</v>
      </c>
      <c r="O149" s="87">
        <f>IF(D149&lt;400,H149+I149*'Factores generales'!$M$41+J149*'Factores generales'!$N$41,I149*'Factores generales'!$M$41+J149*'Factores generales'!$N$41)</f>
        <v>652841.32653061219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Actividad'!$I147*'FE Sectorial'!$H150*'FE Sectorial'!I150*'FE Sectorial'!P150/1000</f>
        <v>0</v>
      </c>
      <c r="I151" s="134">
        <f>'Datos Actividad'!$I147*'FE Sectorial'!$H150*'FE Sectorial'!J150/1000/1000</f>
        <v>0</v>
      </c>
      <c r="J151" s="134">
        <f>'Datos Actividad'!$I147*'FE Sectorial'!$H150*'FE Sectorial'!K150/1000/1000</f>
        <v>0</v>
      </c>
      <c r="K151" s="134">
        <f>'Datos Actividad'!$I147*'FE Sectorial'!$H150*'FE Sectorial'!L150/1000/1000</f>
        <v>0</v>
      </c>
      <c r="L151" s="134">
        <f>'Datos Actividad'!$I147*'FE Sectorial'!$H150*'FE Sectorial'!M150/1000/1000</f>
        <v>0</v>
      </c>
      <c r="M151" s="134">
        <f>'Datos Actividad'!$I147*'FE Sectorial'!$H150*'FE Sectorial'!N150/1000/1000</f>
        <v>0</v>
      </c>
      <c r="N151" s="134">
        <f>'Datos Actividad'!$I147*'FE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Actividad'!$I148*'FE Sectorial'!$H151*'FE Sectorial'!I151*'FE Sectorial'!P151/1000</f>
        <v>0</v>
      </c>
      <c r="I152" s="134">
        <f>'Datos Actividad'!$I148*'FE Sectorial'!$H151*'FE Sectorial'!J151/1000/1000</f>
        <v>0</v>
      </c>
      <c r="J152" s="134">
        <f>'Datos Actividad'!$I148*'FE Sectorial'!$H151*'FE Sectorial'!K151/1000/1000</f>
        <v>0</v>
      </c>
      <c r="K152" s="134">
        <f>'Datos Actividad'!$I148*'FE Sectorial'!$H151*'FE Sectorial'!L151/1000/1000</f>
        <v>0</v>
      </c>
      <c r="L152" s="134">
        <f>'Datos Actividad'!$I148*'FE Sectorial'!$H151*'FE Sectorial'!M151/1000/1000</f>
        <v>0</v>
      </c>
      <c r="M152" s="134">
        <f>'Datos Actividad'!$I148*'FE Sectorial'!$H151*'FE Sectorial'!N151/1000/1000</f>
        <v>0</v>
      </c>
      <c r="N152" s="134">
        <f>'Datos Actividad'!$I148*'FE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5006735.7821146017</v>
      </c>
      <c r="I153" s="124">
        <f t="shared" ref="I153:N153" si="41">I154+I168</f>
        <v>363594.78572851571</v>
      </c>
      <c r="J153" s="124">
        <f t="shared" si="41"/>
        <v>30.525644791683661</v>
      </c>
      <c r="K153" s="124">
        <f t="shared" si="41"/>
        <v>1521.8239026435458</v>
      </c>
      <c r="L153" s="124">
        <f t="shared" si="41"/>
        <v>2434.908528857266</v>
      </c>
      <c r="M153" s="124">
        <f t="shared" si="41"/>
        <v>119316.15412905464</v>
      </c>
      <c r="N153" s="124">
        <f t="shared" si="41"/>
        <v>24349.08528857266</v>
      </c>
      <c r="O153" s="124">
        <f>IF(D153&lt;400,H153+I153*'Factores generales'!$M$41+J153*'Factores generales'!$N$41,I153*'Factores generales'!$M$41+J153*'Factores generales'!$N$41)</f>
        <v>12651689.232298853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5006735.7821146017</v>
      </c>
      <c r="I168" s="129">
        <f t="shared" ref="I168:O168" si="44">I169+I188+I204</f>
        <v>360883.19434815663</v>
      </c>
      <c r="J168" s="129">
        <f t="shared" si="44"/>
        <v>30.525644791683661</v>
      </c>
      <c r="K168" s="129">
        <f t="shared" si="44"/>
        <v>1521.8239026435458</v>
      </c>
      <c r="L168" s="129">
        <f t="shared" si="44"/>
        <v>2434.908528857266</v>
      </c>
      <c r="M168" s="129">
        <f t="shared" si="44"/>
        <v>119316.15412905464</v>
      </c>
      <c r="N168" s="129">
        <f t="shared" si="44"/>
        <v>24349.08528857266</v>
      </c>
      <c r="O168" s="129">
        <f t="shared" si="44"/>
        <v>12594745.813311312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38403.1196846967</v>
      </c>
      <c r="I169" s="134">
        <f t="shared" ref="I169:O169" si="45">SUM(I170:I187)</f>
        <v>12642.724892488912</v>
      </c>
      <c r="J169" s="134">
        <f t="shared" si="45"/>
        <v>0.26802596889107588</v>
      </c>
      <c r="K169" s="134">
        <f t="shared" si="45"/>
        <v>1521.8239026435458</v>
      </c>
      <c r="L169" s="134">
        <f t="shared" si="45"/>
        <v>2434.908528857266</v>
      </c>
      <c r="M169" s="134">
        <f t="shared" si="45"/>
        <v>72309.741568826867</v>
      </c>
      <c r="N169" s="134">
        <f t="shared" si="45"/>
        <v>24349.08528857266</v>
      </c>
      <c r="O169" s="134">
        <f t="shared" si="45"/>
        <v>303983.43047731998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Actividad'!$I167*'FE Sectorial'!I170*1000</f>
        <v>1412.1732573118409</v>
      </c>
      <c r="I171" s="92">
        <f>'Datos Actividad'!$I167*'FE Sectorial'!J170*1000</f>
        <v>29.986548642029575</v>
      </c>
      <c r="J171" s="92">
        <f>'Datos Actividad'!$I167*'FE Sectorial'!K170*1000</f>
        <v>1.0392843691694782E-2</v>
      </c>
      <c r="K171" s="92">
        <f>'Datos Actividad'!$I167*'FE Sectorial'!L170*1000</f>
        <v>0</v>
      </c>
      <c r="L171" s="92">
        <f>'Datos Actividad'!$I167*'FE Sectorial'!M170*1000</f>
        <v>0</v>
      </c>
      <c r="M171" s="92">
        <f>'Datos Actividad'!$I167*'FE Sectorial'!N170*1000</f>
        <v>4.6206110059338199</v>
      </c>
      <c r="N171" s="92">
        <f>'Datos Actividad'!$I167*'FE Sectorial'!O170*1000</f>
        <v>0</v>
      </c>
      <c r="O171" s="87">
        <f>IF(D171&lt;400,H171+I171*'Factores generales'!$M$41+J171*'Factores generales'!$N$41,I171*'Factores generales'!$M$41+J171*'Factores generales'!$N$41)</f>
        <v>2045.1125603388873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Actividad'!$I168*'FE Sectorial'!I171*1000</f>
        <v>4162.1948636559518</v>
      </c>
      <c r="I172" s="92">
        <f>'Datos Actividad'!$I168*'FE Sectorial'!J171*1000</f>
        <v>88.381406523876635</v>
      </c>
      <c r="J172" s="92">
        <f>'Datos Actividad'!$I168*'FE Sectorial'!K171*1000</f>
        <v>3.0631539301837249E-2</v>
      </c>
      <c r="K172" s="92">
        <f>'Datos Actividad'!$I168*'FE Sectorial'!L171*1000</f>
        <v>0</v>
      </c>
      <c r="L172" s="92">
        <f>'Datos Actividad'!$I168*'FE Sectorial'!M171*1000</f>
        <v>0</v>
      </c>
      <c r="M172" s="92">
        <f>'Datos Actividad'!$I168*'FE Sectorial'!N171*1000</f>
        <v>13.618642964857573</v>
      </c>
      <c r="N172" s="92">
        <f>'Datos Actividad'!$I168*'FE Sectorial'!O171*1000</f>
        <v>0</v>
      </c>
      <c r="O172" s="87">
        <f>IF(D172&lt;400,H172+I172*'Factores generales'!$M$41+J172*'Factores generales'!$N$41,I172*'Factores generales'!$M$41+J172*'Factores generales'!$N$41)</f>
        <v>6027.7001778409312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Actividad'!$I169*'FE Sectorial'!I172*1000</f>
        <v>30844.836936021784</v>
      </c>
      <c r="I173" s="92">
        <f>'Datos Actividad'!$I169*'FE Sectorial'!J172*1000</f>
        <v>654.96935191801447</v>
      </c>
      <c r="J173" s="92">
        <f>'Datos Actividad'!$I169*'FE Sectorial'!K172*1000</f>
        <v>0.22700158589754388</v>
      </c>
      <c r="K173" s="92">
        <f>'Datos Actividad'!$I169*'FE Sectorial'!L172*1000</f>
        <v>0</v>
      </c>
      <c r="L173" s="92">
        <f>'Datos Actividad'!$I169*'FE Sectorial'!M172*1000</f>
        <v>0</v>
      </c>
      <c r="M173" s="92">
        <f>'Datos Actividad'!$I169*'FE Sectorial'!N172*1000</f>
        <v>100.92387197171237</v>
      </c>
      <c r="N173" s="92">
        <f>'Datos Actividad'!$I169*'FE Sectorial'!O172*1000</f>
        <v>0</v>
      </c>
      <c r="O173" s="87">
        <f>IF(D173&lt;400,H173+I173*'Factores generales'!$M$41+J173*'Factores generales'!$N$41,I173*'Factores generales'!$M$41+J173*'Factores generales'!$N$41)</f>
        <v>44669.563817928327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Actividad'!$I171*'FE Sectorial'!I174</f>
        <v>788.16665119282391</v>
      </c>
      <c r="I175" s="92">
        <f>'Datos Actividad'!$I171*'FE Sectorial'!J174</f>
        <v>10871.982369569998</v>
      </c>
      <c r="J175" s="92">
        <f>'Datos Actividad'!$I171*'FE Sectorial'!K174</f>
        <v>0</v>
      </c>
      <c r="K175" s="92">
        <f>'Datos Actividad'!$I171*'FE Sectorial'!L174</f>
        <v>0</v>
      </c>
      <c r="L175" s="92">
        <f>'Datos Actividad'!$I171*'FE Sectorial'!M174</f>
        <v>0</v>
      </c>
      <c r="M175" s="92">
        <f>'Datos Actividad'!$I171*'FE Sectorial'!N174</f>
        <v>13315.404648990634</v>
      </c>
      <c r="N175" s="92">
        <f>'Datos Actividad'!$I171*'FE Sectorial'!O174</f>
        <v>0</v>
      </c>
      <c r="O175" s="87">
        <f>IF(D175&lt;400,H175+I175*'Factores generales'!$M$41+J175*'Factores generales'!$N$41,I175*'Factores generales'!$M$41+J175*'Factores generales'!$N$41)</f>
        <v>229099.79641216277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Actividad'!$I173*'FE Sectorial'!I176</f>
        <v>0</v>
      </c>
      <c r="I177" s="92">
        <f>'Datos Actividad'!$I173*'FE Sectorial'!J176</f>
        <v>502.6165545964156</v>
      </c>
      <c r="J177" s="92">
        <f>'Datos Actividad'!$I173*'FE Sectorial'!K176</f>
        <v>0</v>
      </c>
      <c r="K177" s="92">
        <f>'Datos Actividad'!$I173*'FE Sectorial'!L176</f>
        <v>0</v>
      </c>
      <c r="L177" s="92">
        <f>'Datos Actividad'!$I173*'FE Sectorial'!M176</f>
        <v>0</v>
      </c>
      <c r="M177" s="92">
        <f>'Datos Actividad'!$I173*'FE Sectorial'!N176</f>
        <v>0</v>
      </c>
      <c r="N177" s="92">
        <f>'Datos Actividad'!$I173*'FE Sectorial'!O176</f>
        <v>0</v>
      </c>
      <c r="O177" s="87">
        <f>IF(D177&lt;400,H177+I177*'Factores generales'!$M$41+J177*'Factores generales'!$N$41,I177*'Factores generales'!$M$41+J177*'Factores generales'!$N$41)</f>
        <v>10554.947646524728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Actividad'!$I174*'FE Sectorial'!I177</f>
        <v>8.926915388300003</v>
      </c>
      <c r="I178" s="92">
        <f>'Datos Actividad'!$I174*'FE Sectorial'!J177</f>
        <v>98.378251218000031</v>
      </c>
      <c r="J178" s="92">
        <f>'Datos Actividad'!$I174*'FE Sectorial'!K177</f>
        <v>0</v>
      </c>
      <c r="K178" s="92">
        <f>'Datos Actividad'!$I174*'FE Sectorial'!L177</f>
        <v>0</v>
      </c>
      <c r="L178" s="92">
        <f>'Datos Actividad'!$I174*'FE Sectorial'!M177</f>
        <v>0</v>
      </c>
      <c r="M178" s="92">
        <f>'Datos Actividad'!$I174*'FE Sectorial'!N177</f>
        <v>983.78251218000037</v>
      </c>
      <c r="N178" s="92">
        <f>'Datos Actividad'!$I174*'FE Sectorial'!O177</f>
        <v>0</v>
      </c>
      <c r="O178" s="87">
        <f>IF(D178&lt;400,H178+I178*'Factores generales'!$M$41+J178*'Factores generales'!$N$41,I178*'Factores generales'!$M$41+J178*'Factores generales'!$N$41)</f>
        <v>2074.8701909663009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Actividad'!$I177*'FE Sectorial'!I180</f>
        <v>0</v>
      </c>
      <c r="I181" s="92">
        <f>'Datos Actividad'!$I177*'FE Sectorial'!J180</f>
        <v>314.24709112116733</v>
      </c>
      <c r="J181" s="92">
        <f>'Datos Actividad'!$I177*'FE Sectorial'!K180</f>
        <v>0</v>
      </c>
      <c r="K181" s="92">
        <f>'Datos Actividad'!$I177*'FE Sectorial'!L180</f>
        <v>1521.8178305357912</v>
      </c>
      <c r="L181" s="92">
        <f>'Datos Actividad'!$I177*'FE Sectorial'!M180</f>
        <v>2434.908528857266</v>
      </c>
      <c r="M181" s="92">
        <f>'Datos Actividad'!$I177*'FE Sectorial'!N180</f>
        <v>39567.263593930569</v>
      </c>
      <c r="N181" s="92">
        <f>'Datos Actividad'!$I177*'FE Sectorial'!O180</f>
        <v>24349.08528857266</v>
      </c>
      <c r="O181" s="87">
        <f>IF(D181&lt;400,H181+I181*'Factores generales'!$M$41+J181*'Factores generales'!$N$41,I181*'Factores generales'!$M$41+J181*'Factores generales'!$N$41)</f>
        <v>6599.1889135445135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Actividad'!$I179*'FE Sectorial'!I182</f>
        <v>0</v>
      </c>
      <c r="I183" s="92">
        <f>'Datos Actividad'!$I179*'FE Sectorial'!J182</f>
        <v>82.163318899408722</v>
      </c>
      <c r="J183" s="92">
        <f>'Datos Actividad'!$I179*'FE Sectorial'!K182</f>
        <v>0</v>
      </c>
      <c r="K183" s="92">
        <f>'Datos Actividad'!$I179*'FE Sectorial'!L182</f>
        <v>0</v>
      </c>
      <c r="L183" s="92">
        <f>'Datos Actividad'!$I179*'FE Sectorial'!M182</f>
        <v>0</v>
      </c>
      <c r="M183" s="92">
        <f>'Datos Actividad'!$I179*'FE Sectorial'!N182</f>
        <v>0</v>
      </c>
      <c r="N183" s="92">
        <f>'Datos Actividad'!$I179*'FE Sectorial'!O182</f>
        <v>0</v>
      </c>
      <c r="O183" s="87">
        <f>IF(D183&lt;400,H183+I183*'Factores generales'!$M$41+J183*'Factores generales'!$N$41,I183*'Factores generales'!$M$41+J183*'Factores generales'!$N$41)</f>
        <v>1725.4296968875831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Actividad'!$I181*'FE Sectorial'!I184</f>
        <v>0</v>
      </c>
      <c r="I185" s="92">
        <f>'Datos Actividad'!$I181*'FE Sectorial'!J184</f>
        <v>0</v>
      </c>
      <c r="J185" s="92">
        <f>'Datos Actividad'!$I181*'FE Sectorial'!K184</f>
        <v>0</v>
      </c>
      <c r="K185" s="92">
        <f>'Datos Actividad'!$I181*'FE Sectorial'!L184</f>
        <v>0</v>
      </c>
      <c r="L185" s="92">
        <f>'Datos Actividad'!$I181*'FE Sectorial'!M184</f>
        <v>0</v>
      </c>
      <c r="M185" s="92">
        <f>'Datos Actividad'!$I181*'FE Sectorial'!N184</f>
        <v>18324.127687783159</v>
      </c>
      <c r="N185" s="92">
        <f>'Datos Actividad'!$I181*'FE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Actividad'!$I182*'FE Sectorial'!I185</f>
        <v>1186.8210611259915</v>
      </c>
      <c r="I186" s="92">
        <f>'Datos Actividad'!$I182*'FE Sectorial'!J185</f>
        <v>0</v>
      </c>
      <c r="J186" s="92">
        <f>'Datos Actividad'!$I182*'FE Sectorial'!K185</f>
        <v>0</v>
      </c>
      <c r="K186" s="92">
        <f>'Datos Actividad'!$I182*'FE Sectorial'!L185</f>
        <v>6.0721077545980969E-3</v>
      </c>
      <c r="L186" s="92">
        <f>'Datos Actividad'!$I182*'FE Sectorial'!M185</f>
        <v>0</v>
      </c>
      <c r="M186" s="92">
        <f>'Datos Actividad'!$I182*'FE Sectorial'!N185</f>
        <v>0</v>
      </c>
      <c r="N186" s="92">
        <f>'Datos Actividad'!$I182*'FE Sectorial'!O185</f>
        <v>0</v>
      </c>
      <c r="O186" s="87">
        <f>IF(D186&lt;400,H186+I186*'Factores generales'!$M$41+J186*'Factores generales'!$N$41,I186*'Factores generales'!$M$41+J186*'Factores generales'!$N$41)</f>
        <v>1186.8210611259915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5946.355911567176</v>
      </c>
      <c r="I188" s="134">
        <f t="shared" ref="I188:O188" si="46">SUM(I189:I203)</f>
        <v>308964.25812552276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27438.191746451706</v>
      </c>
      <c r="N188" s="134">
        <f t="shared" si="46"/>
        <v>0</v>
      </c>
      <c r="O188" s="134">
        <f t="shared" si="46"/>
        <v>6494195.7765475456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Actividad'!$I187*'FE Sectorial'!I190</f>
        <v>2430.6270311985259</v>
      </c>
      <c r="I191" s="92">
        <f>'Datos Actividad'!$I187*'FE Sectorial'!J190</f>
        <v>146222.92669630048</v>
      </c>
      <c r="J191" s="92">
        <f>'Datos Actividad'!$I187*'FE Sectorial'!K190</f>
        <v>0</v>
      </c>
      <c r="K191" s="92">
        <f>'Datos Actividad'!$I187*'FE Sectorial'!L190</f>
        <v>0</v>
      </c>
      <c r="L191" s="92">
        <f>'Datos Actividad'!$I187*'FE Sectorial'!M190</f>
        <v>0</v>
      </c>
      <c r="M191" s="92">
        <f>'Datos Actividad'!$I187*'FE Sectorial'!N190</f>
        <v>16000.345927750903</v>
      </c>
      <c r="N191" s="92">
        <f>'Datos Actividad'!$I187*'FE Sectorial'!O190</f>
        <v>0</v>
      </c>
      <c r="O191" s="87">
        <f>IF(D191&lt;400,H191+I191*'Factores generales'!$M$41+J191*'Factores generales'!$N$41,I191*'Factores generales'!$M$41+J191*'Factores generales'!$N$41)</f>
        <v>3073112.0876535089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Actividad'!$I189*'FE Sectorial'!I192</f>
        <v>887.53950257949714</v>
      </c>
      <c r="I193" s="92">
        <f>'Datos Actividad'!$I189*'FE Sectorial'!J192</f>
        <v>11094.243782243717</v>
      </c>
      <c r="J193" s="92">
        <f>'Datos Actividad'!$I189*'FE Sectorial'!K192</f>
        <v>0</v>
      </c>
      <c r="K193" s="92">
        <f>'Datos Actividad'!$I189*'FE Sectorial'!L192</f>
        <v>0</v>
      </c>
      <c r="L193" s="92">
        <f>'Datos Actividad'!$I189*'FE Sectorial'!M192</f>
        <v>0</v>
      </c>
      <c r="M193" s="92">
        <f>'Datos Actividad'!$I189*'FE Sectorial'!N192</f>
        <v>10248.423414613986</v>
      </c>
      <c r="N193" s="92">
        <f>'Datos Actividad'!$I189*'FE Sectorial'!O192</f>
        <v>0</v>
      </c>
      <c r="O193" s="87">
        <f>IF(D193&lt;400,H193+I193*'Factores generales'!$M$41+J193*'Factores generales'!$N$41,I193*'Factores generales'!$M$41+J193*'Factores generales'!$N$41)</f>
        <v>233866.65892969753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Actividad'!$I192*'FE Sectorial'!I195</f>
        <v>61.891565578867279</v>
      </c>
      <c r="I196" s="92">
        <f>'Datos Actividad'!$I192*'FE Sectorial'!J195</f>
        <v>19257.093756464219</v>
      </c>
      <c r="J196" s="92">
        <f>'Datos Actividad'!$I192*'FE Sectorial'!K195</f>
        <v>0</v>
      </c>
      <c r="K196" s="92">
        <f>'Datos Actividad'!$I192*'FE Sectorial'!L195</f>
        <v>0</v>
      </c>
      <c r="L196" s="92">
        <f>'Datos Actividad'!$I192*'FE Sectorial'!M195</f>
        <v>0</v>
      </c>
      <c r="M196" s="92">
        <f>'Datos Actividad'!$I192*'FE Sectorial'!N195</f>
        <v>460.52032408681629</v>
      </c>
      <c r="N196" s="92">
        <f>'Datos Actividad'!$I192*'FE Sectorial'!O195</f>
        <v>0</v>
      </c>
      <c r="O196" s="87">
        <f>IF(D196&lt;400,H196+I196*'Factores generales'!$M$41+J196*'Factores generales'!$N$41,I196*'Factores generales'!$M$41+J196*'Factores generales'!$N$41)</f>
        <v>404460.86045132746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Actividad'!$I194*'FE Sectorial'!I197</f>
        <v>2566.297812210285</v>
      </c>
      <c r="I198" s="92">
        <f>'Datos Actividad'!$I194*'FE Sectorial'!J197</f>
        <v>50364.473088950319</v>
      </c>
      <c r="J198" s="92">
        <f>'Datos Actividad'!$I194*'FE Sectorial'!K197</f>
        <v>0</v>
      </c>
      <c r="K198" s="92">
        <f>'Datos Actividad'!$I194*'FE Sectorial'!L197</f>
        <v>0</v>
      </c>
      <c r="L198" s="92">
        <f>'Datos Actividad'!$I194*'FE Sectorial'!M197</f>
        <v>0</v>
      </c>
      <c r="M198" s="92">
        <f>'Datos Actividad'!$I194*'FE Sectorial'!N197</f>
        <v>728.90208000000007</v>
      </c>
      <c r="N198" s="92">
        <f>'Datos Actividad'!$I194*'FE Sectorial'!O197</f>
        <v>0</v>
      </c>
      <c r="O198" s="87">
        <f>IF(D198&lt;400,H198+I198*'Factores generales'!$M$41+J198*'Factores generales'!$N$41,I198*'Factores generales'!$M$41+J198*'Factores generales'!$N$41)</f>
        <v>1060220.2326801671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Actividad'!$I197*'FE Sectorial'!I200</f>
        <v>0</v>
      </c>
      <c r="I201" s="92">
        <f>'Datos Actividad'!$I197*'FE Sectorial'!J200</f>
        <v>65897.213084724004</v>
      </c>
      <c r="J201" s="92">
        <f>'Datos Actividad'!$I197*'FE Sectorial'!K200</f>
        <v>0</v>
      </c>
      <c r="K201" s="92">
        <f>'Datos Actividad'!$I197*'FE Sectorial'!L200</f>
        <v>0</v>
      </c>
      <c r="L201" s="92">
        <f>'Datos Actividad'!$I197*'FE Sectorial'!M200</f>
        <v>0</v>
      </c>
      <c r="M201" s="92">
        <f>'Datos Actividad'!$I197*'FE Sectorial'!N200</f>
        <v>0</v>
      </c>
      <c r="N201" s="92">
        <f>'Datos Actividad'!$I197*'FE Sectorial'!O200</f>
        <v>0</v>
      </c>
      <c r="O201" s="87">
        <f>IF(D201&lt;400,H201+I201*'Factores generales'!$M$41+J201*'Factores generales'!$N$41,I201*'Factores generales'!$M$41+J201*'Factores generales'!$N$41)</f>
        <v>1383841.474779204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Actividad'!$I199*'FE Sectorial'!I202</f>
        <v>0</v>
      </c>
      <c r="I203" s="92">
        <f>'Datos Actividad'!$I199*'FE Sectorial'!J202</f>
        <v>16128.30771684</v>
      </c>
      <c r="J203" s="92">
        <f>'Datos Actividad'!$I199*'FE Sectorial'!K202</f>
        <v>0</v>
      </c>
      <c r="K203" s="92">
        <f>'Datos Actividad'!$I199*'FE Sectorial'!L202</f>
        <v>0</v>
      </c>
      <c r="L203" s="92">
        <f>'Datos Actividad'!$I199*'FE Sectorial'!M202</f>
        <v>0</v>
      </c>
      <c r="M203" s="92">
        <f>'Datos Actividad'!$I199*'FE Sectorial'!N202</f>
        <v>0</v>
      </c>
      <c r="N203" s="92">
        <f>'Datos Actividad'!$I199*'FE Sectorial'!O202</f>
        <v>0</v>
      </c>
      <c r="O203" s="87">
        <f>IF(D203&lt;400,H203+I203*'Factores generales'!$M$41+J203*'Factores generales'!$N$41,I203*'Factores generales'!$M$41+J203*'Factores generales'!$N$41)</f>
        <v>338694.46205363999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4962386.3065183377</v>
      </c>
      <c r="I204" s="134">
        <f t="shared" ref="I204:O204" si="47">SUM(I205:I221)</f>
        <v>39276.21133014495</v>
      </c>
      <c r="J204" s="134">
        <f t="shared" si="47"/>
        <v>30.257618822792583</v>
      </c>
      <c r="K204" s="134">
        <f t="shared" si="47"/>
        <v>0</v>
      </c>
      <c r="L204" s="134">
        <f t="shared" si="47"/>
        <v>0</v>
      </c>
      <c r="M204" s="134">
        <f t="shared" si="47"/>
        <v>19568.220813776075</v>
      </c>
      <c r="N204" s="134">
        <f t="shared" si="47"/>
        <v>0</v>
      </c>
      <c r="O204" s="134">
        <f t="shared" si="47"/>
        <v>5796566.6062864466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Actividad'!$I203*'FE Sectorial'!I206</f>
        <v>4027.3647407542862</v>
      </c>
      <c r="I207" s="92">
        <f>'Datos Actividad'!$I203*'FE Sectorial'!J206</f>
        <v>30596.470468052161</v>
      </c>
      <c r="J207" s="92">
        <f>'Datos Actividad'!$I203*'FE Sectorial'!K206</f>
        <v>0</v>
      </c>
      <c r="K207" s="92">
        <f>'Datos Actividad'!$I203*'FE Sectorial'!L206</f>
        <v>0</v>
      </c>
      <c r="L207" s="92">
        <f>'Datos Actividad'!$I203*'FE Sectorial'!M206</f>
        <v>0</v>
      </c>
      <c r="M207" s="92">
        <f>'Datos Actividad'!$I203*'FE Sectorial'!N206</f>
        <v>18253.565911424274</v>
      </c>
      <c r="N207" s="92">
        <f>'Datos Actividad'!$I203*'FE Sectorial'!O206</f>
        <v>0</v>
      </c>
      <c r="O207" s="87">
        <f>IF(D207&lt;400,H207+I207*'Factores generales'!$M$41+J207*'Factores generales'!$N$41,I207*'Factores generales'!$M$41+J207*'Factores generales'!$N$41)</f>
        <v>646553.24456984957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Actividad'!$I205*'FE Sectorial'!I208</f>
        <v>1736494.5579438577</v>
      </c>
      <c r="I209" s="92">
        <f>'Datos Actividad'!$I205*'FE Sectorial'!J208</f>
        <v>1056.5667699761482</v>
      </c>
      <c r="J209" s="92">
        <f>'Datos Actividad'!$I205*'FE Sectorial'!K208</f>
        <v>27.196862638268588</v>
      </c>
      <c r="K209" s="92">
        <f>'Datos Actividad'!$I205*'FE Sectorial'!L208</f>
        <v>0</v>
      </c>
      <c r="L209" s="92">
        <f>'Datos Actividad'!$I205*'FE Sectorial'!M208</f>
        <v>0</v>
      </c>
      <c r="M209" s="92">
        <f>'Datos Actividad'!$I205*'FE Sectorial'!N208</f>
        <v>894.32656471747703</v>
      </c>
      <c r="N209" s="92">
        <f>'Datos Actividad'!$I205*'FE Sectorial'!O208</f>
        <v>0</v>
      </c>
      <c r="O209" s="87">
        <f>IF(D209&lt;400,H209+I209*'Factores generales'!$M$41+J209*'Factores generales'!$N$41,I209*'Factores generales'!$M$41+J209*'Factores generales'!$N$41)</f>
        <v>1767113.4875312201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Actividad'!$I209*'FE Sectorial'!I212</f>
        <v>2984762.9925193717</v>
      </c>
      <c r="I213" s="92">
        <f>'Datos Actividad'!$I209*'FE Sectorial'!J212</f>
        <v>0</v>
      </c>
      <c r="J213" s="92">
        <f>'Datos Actividad'!$I209*'FE Sectorial'!K212</f>
        <v>0</v>
      </c>
      <c r="K213" s="92">
        <f>'Datos Actividad'!$I209*'FE Sectorial'!L212</f>
        <v>0</v>
      </c>
      <c r="L213" s="92">
        <f>'Datos Actividad'!$I209*'FE Sectorial'!M212</f>
        <v>0</v>
      </c>
      <c r="M213" s="92">
        <f>'Datos Actividad'!$I209*'FE Sectorial'!N212</f>
        <v>0</v>
      </c>
      <c r="N213" s="92">
        <f>'Datos Actividad'!$I209*'FE Sectorial'!O212</f>
        <v>0</v>
      </c>
      <c r="O213" s="87">
        <f>IF(D213&lt;400,H213+I213*'Factores generales'!$M$41+J213*'Factores generales'!$N$41,I213*'Factores generales'!$M$41+J213*'Factores generales'!$N$41)</f>
        <v>2984762.9925193717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Actividad'!$I211*'FE Sectorial'!I214</f>
        <v>196.83861602288394</v>
      </c>
      <c r="I215" s="92">
        <f>'Datos Actividad'!$I211*'FE Sectorial'!J214</f>
        <v>7466.3823119853569</v>
      </c>
      <c r="J215" s="92">
        <f>'Datos Actividad'!$I211*'FE Sectorial'!K214</f>
        <v>0</v>
      </c>
      <c r="K215" s="92">
        <f>'Datos Actividad'!$I211*'FE Sectorial'!L214</f>
        <v>0</v>
      </c>
      <c r="L215" s="92">
        <f>'Datos Actividad'!$I211*'FE Sectorial'!M214</f>
        <v>0</v>
      </c>
      <c r="M215" s="92">
        <f>'Datos Actividad'!$I211*'FE Sectorial'!N214</f>
        <v>294.33593271615302</v>
      </c>
      <c r="N215" s="92">
        <f>'Datos Actividad'!$I211*'FE Sectorial'!O214</f>
        <v>0</v>
      </c>
      <c r="O215" s="87">
        <f>IF(D215&lt;400,H215+I215*'Factores generales'!$M$41+J215*'Factores generales'!$N$41,I215*'Factores generales'!$M$41+J215*'Factores generales'!$N$41)</f>
        <v>156990.86716771539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Actividad'!$I214*'FE Sectorial'!I217</f>
        <v>67091.680073466268</v>
      </c>
      <c r="I218" s="92">
        <f>'Datos Actividad'!$I214*'FE Sectorial'!J217</f>
        <v>42.210923044902003</v>
      </c>
      <c r="J218" s="92">
        <f>'Datos Actividad'!$I214*'FE Sectorial'!K217</f>
        <v>1.1948866235581932</v>
      </c>
      <c r="K218" s="92">
        <f>'Datos Actividad'!$I214*'FE Sectorial'!L217</f>
        <v>0</v>
      </c>
      <c r="L218" s="92">
        <f>'Datos Actividad'!$I214*'FE Sectorial'!M217</f>
        <v>0</v>
      </c>
      <c r="M218" s="92">
        <f>'Datos Actividad'!$I214*'FE Sectorial'!N217</f>
        <v>35.149840660106968</v>
      </c>
      <c r="N218" s="92">
        <f>'Datos Actividad'!$I214*'FE Sectorial'!O217</f>
        <v>0</v>
      </c>
      <c r="O218" s="87">
        <f>IF(D218&lt;400,H218+I218*'Factores generales'!$M$41+J218*'Factores generales'!$N$41,I218*'Factores generales'!$M$41+J218*'Factores generales'!$N$41)</f>
        <v>68348.524310712251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Actividad'!$I216*'FE Sectorial'!I219</f>
        <v>169812.87262486463</v>
      </c>
      <c r="I220" s="92">
        <f>'Datos Actividad'!$I216*'FE Sectorial'!J219</f>
        <v>114.58085708638691</v>
      </c>
      <c r="J220" s="92">
        <f>'Datos Actividad'!$I216*'FE Sectorial'!K219</f>
        <v>1.8658695609658005</v>
      </c>
      <c r="K220" s="92">
        <f>'Datos Actividad'!$I216*'FE Sectorial'!L219</f>
        <v>0</v>
      </c>
      <c r="L220" s="92">
        <f>'Datos Actividad'!$I216*'FE Sectorial'!M219</f>
        <v>0</v>
      </c>
      <c r="M220" s="92">
        <f>'Datos Actividad'!$I216*'FE Sectorial'!N219</f>
        <v>90.842564258064854</v>
      </c>
      <c r="N220" s="92">
        <f>'Datos Actividad'!$I216*'FE Sectorial'!O219</f>
        <v>0</v>
      </c>
      <c r="O220" s="87">
        <f>IF(D220&lt;400,H220+I220*'Factores generales'!$M$41+J220*'Factores generales'!$N$41,I220*'Factores generales'!$M$41+J220*'Factores generales'!$N$41)</f>
        <v>172797.49018757817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11214230.330414683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5465654.9848615071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2602492.9263916332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2863162.0584698739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defaultColWidth="11.42578125" defaultRowHeight="15" outlineLevelRow="1" x14ac:dyDescent="0.25"/>
  <cols>
    <col min="1" max="1" width="7.140625" style="11" bestFit="1" customWidth="1"/>
    <col min="2" max="3" width="2.7109375" style="11" customWidth="1"/>
    <col min="4" max="4" width="4.42578125" style="82" bestFit="1" customWidth="1"/>
    <col min="5" max="5" width="36" style="11" customWidth="1"/>
    <col min="6" max="6" width="3.85546875" style="11" customWidth="1"/>
    <col min="7" max="7" width="25.28515625" style="11" customWidth="1"/>
    <col min="8" max="8" width="12.85546875" style="11" customWidth="1"/>
    <col min="9" max="14" width="10.42578125" style="11" customWidth="1"/>
    <col min="15" max="15" width="12.85546875" style="11" customWidth="1"/>
    <col min="16" max="16384" width="11.42578125" style="11"/>
  </cols>
  <sheetData>
    <row r="1" spans="1:15" x14ac:dyDescent="0.2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 x14ac:dyDescent="0.25">
      <c r="A2" s="142"/>
      <c r="B2" s="142"/>
      <c r="C2" s="142"/>
      <c r="D2" s="143"/>
      <c r="E2" s="142"/>
      <c r="F2" s="142"/>
      <c r="G2" s="142"/>
      <c r="H2" s="174" t="s">
        <v>4</v>
      </c>
      <c r="I2" s="174"/>
      <c r="J2" s="174"/>
      <c r="K2" s="174"/>
      <c r="L2" s="174"/>
      <c r="M2" s="174"/>
      <c r="N2" s="174"/>
      <c r="O2" s="174"/>
    </row>
    <row r="3" spans="1:15" ht="18" x14ac:dyDescent="0.25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8" x14ac:dyDescent="0.25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 x14ac:dyDescent="0.2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163136992.01502085</v>
      </c>
      <c r="I5" s="138">
        <f t="shared" si="0"/>
        <v>401713.69896964921</v>
      </c>
      <c r="J5" s="138">
        <f t="shared" si="0"/>
        <v>4064.5375735426769</v>
      </c>
      <c r="K5" s="138">
        <f t="shared" si="0"/>
        <v>900659.28508526227</v>
      </c>
      <c r="L5" s="138">
        <f t="shared" si="0"/>
        <v>2791994.7625690158</v>
      </c>
      <c r="M5" s="138">
        <f t="shared" si="0"/>
        <v>564021.55667188379</v>
      </c>
      <c r="N5" s="138">
        <f t="shared" si="0"/>
        <v>101429.52920870743</v>
      </c>
      <c r="O5" s="138">
        <f t="shared" si="0"/>
        <v>172832986.34118167</v>
      </c>
    </row>
    <row r="6" spans="1:15" x14ac:dyDescent="0.2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157771661.11265498</v>
      </c>
      <c r="I6" s="124">
        <f t="shared" si="1"/>
        <v>23386.675619783167</v>
      </c>
      <c r="J6" s="124">
        <f t="shared" si="1"/>
        <v>4030.4816871944686</v>
      </c>
      <c r="K6" s="124">
        <f t="shared" si="1"/>
        <v>898998.19472836016</v>
      </c>
      <c r="L6" s="124">
        <f t="shared" si="1"/>
        <v>2789337.0279239761</v>
      </c>
      <c r="M6" s="124">
        <f t="shared" si="1"/>
        <v>436471.60607821116</v>
      </c>
      <c r="N6" s="124">
        <f t="shared" si="1"/>
        <v>74852.182758307434</v>
      </c>
      <c r="O6" s="124">
        <f t="shared" si="1"/>
        <v>159512230.62370068</v>
      </c>
    </row>
    <row r="7" spans="1:15" x14ac:dyDescent="0.2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51049358.134779707</v>
      </c>
      <c r="I7" s="129">
        <f t="shared" si="2"/>
        <v>1132.9859310737997</v>
      </c>
      <c r="J7" s="129">
        <f t="shared" si="2"/>
        <v>188.78140353627657</v>
      </c>
      <c r="K7" s="129">
        <f t="shared" si="2"/>
        <v>137709.34328343903</v>
      </c>
      <c r="L7" s="129">
        <f t="shared" si="2"/>
        <v>16227.978388094221</v>
      </c>
      <c r="M7" s="129">
        <f t="shared" si="2"/>
        <v>4235.6540479508276</v>
      </c>
      <c r="N7" s="129">
        <f t="shared" si="2"/>
        <v>43922.465685363917</v>
      </c>
      <c r="O7" s="129">
        <f t="shared" si="2"/>
        <v>51131673.074428491</v>
      </c>
    </row>
    <row r="8" spans="1:15" outlineLevel="1" x14ac:dyDescent="0.25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37197870.080248788</v>
      </c>
      <c r="I8" s="134">
        <f t="shared" si="3"/>
        <v>861.29971850831998</v>
      </c>
      <c r="J8" s="134">
        <f t="shared" si="3"/>
        <v>153.25394499163201</v>
      </c>
      <c r="K8" s="134">
        <f t="shared" si="3"/>
        <v>100550.35501224798</v>
      </c>
      <c r="L8" s="134">
        <f t="shared" si="3"/>
        <v>11510.306287046398</v>
      </c>
      <c r="M8" s="134">
        <f t="shared" si="3"/>
        <v>3036.3456851815999</v>
      </c>
      <c r="N8" s="134">
        <f t="shared" si="3"/>
        <v>39700.461589600003</v>
      </c>
      <c r="O8" s="134">
        <f t="shared" si="3"/>
        <v>37263466.097284868</v>
      </c>
    </row>
    <row r="9" spans="1:15" outlineLevel="1" x14ac:dyDescent="0.25">
      <c r="A9" s="10" t="s">
        <v>104</v>
      </c>
      <c r="B9" s="1" t="s">
        <v>105</v>
      </c>
      <c r="H9" s="93">
        <f>H10+H11+H12+H13</f>
        <v>37197870.080248788</v>
      </c>
      <c r="I9" s="93">
        <f t="shared" ref="I9:O9" si="4">I10+I11+I12+I13+I14</f>
        <v>861.29971850831998</v>
      </c>
      <c r="J9" s="93">
        <f t="shared" si="4"/>
        <v>153.25394499163201</v>
      </c>
      <c r="K9" s="93">
        <f t="shared" si="4"/>
        <v>100550.35501224798</v>
      </c>
      <c r="L9" s="93">
        <f t="shared" si="4"/>
        <v>11510.306287046398</v>
      </c>
      <c r="M9" s="93">
        <f t="shared" si="4"/>
        <v>3036.3456851815999</v>
      </c>
      <c r="N9" s="93">
        <f t="shared" si="4"/>
        <v>39700.461589600003</v>
      </c>
      <c r="O9" s="93">
        <f t="shared" si="4"/>
        <v>37263466.097284868</v>
      </c>
    </row>
    <row r="10" spans="1:15" outlineLevel="1" x14ac:dyDescent="0.25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Actividad'!$J6*'FE Sectorial'!$H9*'FE Sectorial'!I9*'FE Sectorial'!$P9/1000</f>
        <v>1921663.7356223997</v>
      </c>
      <c r="I10" s="92">
        <f>'Datos Actividad'!$J6*'FE Sectorial'!$H9*'FE Sectorial'!J9/1000/1000</f>
        <v>20.728132800000001</v>
      </c>
      <c r="J10" s="92">
        <f>'Datos Actividad'!$J6*'FE Sectorial'!$H9*'FE Sectorial'!K9/1000/1000</f>
        <v>31.092199200000007</v>
      </c>
      <c r="K10" s="92">
        <f>'Datos Actividad'!$J6*'FE Sectorial'!$H9*'FE Sectorial'!L9/1000/1000</f>
        <v>6218.43984</v>
      </c>
      <c r="L10" s="92">
        <f>'Datos Actividad'!$J6*'FE Sectorial'!$H9*'FE Sectorial'!M9/1000/1000</f>
        <v>414.562656</v>
      </c>
      <c r="M10" s="92">
        <f>'Datos Actividad'!$J6*'FE Sectorial'!$H9*'FE Sectorial'!N9/1000/1000</f>
        <v>103.640664</v>
      </c>
      <c r="N10" s="92">
        <f>'Datos Actividad'!$J6*'FE Sectorial'!$H9*'FE Sectorial'!O9/1000/1000</f>
        <v>19844.375199999999</v>
      </c>
      <c r="O10" s="92">
        <f>IF(D10&lt;400,H10+I10*'Factores generales'!$M$41+J10*'Factores generales'!$N$41,I10*'Factores generales'!$M$41+J10*'Factores generales'!$N$41)</f>
        <v>1931737.6081631996</v>
      </c>
    </row>
    <row r="11" spans="1:15" outlineLevel="1" x14ac:dyDescent="0.25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Actividad'!$J7*'FE Sectorial'!$H10*'FE Sectorial'!I10*'FE Sectorial'!$P10/1000</f>
        <v>2401803.0314764199</v>
      </c>
      <c r="I11" s="17">
        <f>'Datos Actividad'!$J7*'FE Sectorial'!$H10*'FE Sectorial'!J10/1000/1000</f>
        <v>98.221201140000019</v>
      </c>
      <c r="J11" s="17">
        <f>'Datos Actividad'!$J7*'FE Sectorial'!$H10*'FE Sectorial'!K10/1000/1000</f>
        <v>19.644240227999997</v>
      </c>
      <c r="K11" s="17">
        <f>'Datos Actividad'!$J7*'FE Sectorial'!$H10*'FE Sectorial'!L10/1000/1000</f>
        <v>6548.0800760000011</v>
      </c>
      <c r="L11" s="17">
        <f>'Datos Actividad'!$J7*'FE Sectorial'!$H10*'FE Sectorial'!M10/1000/1000</f>
        <v>491.10600570000003</v>
      </c>
      <c r="M11" s="17">
        <f>'Datos Actividad'!$J7*'FE Sectorial'!$H10*'FE Sectorial'!N10/1000/1000</f>
        <v>163.7020019</v>
      </c>
      <c r="N11" s="17">
        <f>'Datos Actividad'!$J7*'FE Sectorial'!$H10*'FE Sectorial'!O10/1000/1000</f>
        <v>1187.7912696000003</v>
      </c>
      <c r="O11" s="17">
        <f>IF(D11&lt;400,H11+I11*'Factores generales'!$M$41+J11*'Factores generales'!$N$41,I11*'Factores generales'!$M$41+J11*'Factores generales'!$N$41)</f>
        <v>2409955.3911710395</v>
      </c>
    </row>
    <row r="12" spans="1:15" outlineLevel="1" x14ac:dyDescent="0.25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Actividad'!$J8*'FE Sectorial'!$H11*'FE Sectorial'!I11*'FE Sectorial'!$P11/1000</f>
        <v>7223907.7484188573</v>
      </c>
      <c r="I12" s="92">
        <f>'Datos Actividad'!$J8*'FE Sectorial'!$H11*'FE Sectorial'!J11/1000/1000</f>
        <v>282.82467106800004</v>
      </c>
      <c r="J12" s="92">
        <f>'Datos Actividad'!$J8*'FE Sectorial'!$H11*'FE Sectorial'!K11/1000/1000</f>
        <v>56.564934213600004</v>
      </c>
      <c r="K12" s="92">
        <f>'Datos Actividad'!$J8*'FE Sectorial'!$H11*'FE Sectorial'!L11/1000/1000</f>
        <v>18854.978071200003</v>
      </c>
      <c r="L12" s="92">
        <f>'Datos Actividad'!$J8*'FE Sectorial'!$H11*'FE Sectorial'!M11/1000/1000</f>
        <v>1414.1233553400002</v>
      </c>
      <c r="M12" s="92">
        <f>'Datos Actividad'!$J8*'FE Sectorial'!$H11*'FE Sectorial'!N11/1000/1000</f>
        <v>471.37445178000002</v>
      </c>
      <c r="N12" s="92">
        <f>'Datos Actividad'!$J8*'FE Sectorial'!$H11*'FE Sectorial'!O11/1000/1000</f>
        <v>18668.295120000002</v>
      </c>
      <c r="O12" s="92">
        <f>IF(D12&lt;400,H12+I12*'Factores generales'!$M$41+J12*'Factores generales'!$N$41,I12*'Factores generales'!$M$41+J12*'Factores generales'!$N$41)</f>
        <v>7247382.1961175017</v>
      </c>
    </row>
    <row r="13" spans="1:15" outlineLevel="1" x14ac:dyDescent="0.25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Actividad'!$J9*'FE Sectorial'!$H12*'FE Sectorial'!I12*'FE Sectorial'!$P12/1000</f>
        <v>25650495.56473111</v>
      </c>
      <c r="I13" s="17">
        <f>'Datos Actividad'!$J9*'FE Sectorial'!$H12*'FE Sectorial'!J12/1000/1000</f>
        <v>459.52571350031997</v>
      </c>
      <c r="J13" s="17">
        <f>'Datos Actividad'!$J9*'FE Sectorial'!$H12*'FE Sectorial'!K12/1000/1000</f>
        <v>45.952571350032002</v>
      </c>
      <c r="K13" s="17">
        <f>'Datos Actividad'!$J9*'FE Sectorial'!$H12*'FE Sectorial'!L12/1000/1000</f>
        <v>68928.857025047982</v>
      </c>
      <c r="L13" s="17">
        <f>'Datos Actividad'!$J9*'FE Sectorial'!$H12*'FE Sectorial'!M12/1000/1000</f>
        <v>9190.5142700063989</v>
      </c>
      <c r="M13" s="17">
        <f>'Datos Actividad'!$J9*'FE Sectorial'!$H12*'FE Sectorial'!N12/1000/1000</f>
        <v>2297.6285675015997</v>
      </c>
      <c r="N13" s="17">
        <f>'Datos Actividad'!$J9*'FE Sectorial'!$H12*'FE Sectorial'!O12/1000/1000</f>
        <v>0</v>
      </c>
      <c r="O13" s="17">
        <f>IF(D13&lt;400,H13+I13*'Factores generales'!$M$41+J13*'Factores generales'!$N$41,I13*'Factores generales'!$M$41+J13*'Factores generales'!$N$41)</f>
        <v>25674390.901833128</v>
      </c>
    </row>
    <row r="14" spans="1:15" outlineLevel="1" x14ac:dyDescent="0.25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Actividad'!$J10*'FE Sectorial'!$H13*'FE Sectorial'!I13*'FE Sectorial'!$P13/1000</f>
        <v>0</v>
      </c>
      <c r="I14" s="147">
        <f>'Datos Actividad'!$J10*'FE Sectorial'!$H13*'FE Sectorial'!J13/1000/1000</f>
        <v>0</v>
      </c>
      <c r="J14" s="147">
        <f>'Datos Actividad'!$J10*'FE Sectorial'!$H13*'FE Sectorial'!K13/1000/1000</f>
        <v>0</v>
      </c>
      <c r="K14" s="147">
        <f>'Datos Actividad'!$J10*'FE Sectorial'!$H13*'FE Sectorial'!L13/1000/1000</f>
        <v>0</v>
      </c>
      <c r="L14" s="147">
        <f>'Datos Actividad'!$J10*'FE Sectorial'!$H13*'FE Sectorial'!M13/1000/1000</f>
        <v>0</v>
      </c>
      <c r="M14" s="147">
        <f>'Datos Actividad'!$J10*'FE Sectorial'!$H13*'FE Sectorial'!N13/1000/1000</f>
        <v>0</v>
      </c>
      <c r="N14" s="147">
        <f>'Datos Actividad'!$J10*'FE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 x14ac:dyDescent="0.25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 x14ac:dyDescent="0.25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 x14ac:dyDescent="0.25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4498912.902592456</v>
      </c>
      <c r="I17" s="134">
        <f t="shared" ref="I17:O17" si="5">SUM(I18:I25)</f>
        <v>101.1748457519203</v>
      </c>
      <c r="J17" s="134">
        <f t="shared" si="5"/>
        <v>16.987505024305577</v>
      </c>
      <c r="K17" s="134">
        <f t="shared" si="5"/>
        <v>11984.926927123244</v>
      </c>
      <c r="L17" s="134">
        <f t="shared" si="5"/>
        <v>1397.1056897766371</v>
      </c>
      <c r="M17" s="134">
        <f t="shared" si="5"/>
        <v>366.67617870143062</v>
      </c>
      <c r="N17" s="134">
        <f t="shared" si="5"/>
        <v>2610.6873889842541</v>
      </c>
      <c r="O17" s="134">
        <f t="shared" si="5"/>
        <v>4506303.7009107806</v>
      </c>
    </row>
    <row r="18" spans="1:15" outlineLevel="1" x14ac:dyDescent="0.25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Actividad'!$J14*'FE Sectorial'!$H17*'FE Sectorial'!I17*'FE Sectorial'!P17/1000</f>
        <v>1612104.9475687202</v>
      </c>
      <c r="I18" s="17">
        <f>'Datos Actividad'!$J14*'FE Sectorial'!$H17*'FE Sectorial'!J17/1000/1000</f>
        <v>28.880676960000002</v>
      </c>
      <c r="J18" s="17">
        <f>'Datos Actividad'!$J14*'FE Sectorial'!$H17*'FE Sectorial'!K17/1000/1000</f>
        <v>2.8880676960000007</v>
      </c>
      <c r="K18" s="17">
        <f>'Datos Actividad'!$J14*'FE Sectorial'!$H17*'FE Sectorial'!L17/1000/1000</f>
        <v>4332.1015440000001</v>
      </c>
      <c r="L18" s="17">
        <f>'Datos Actividad'!$J14*'FE Sectorial'!$H17*'FE Sectorial'!M17/1000/1000</f>
        <v>577.61353919999999</v>
      </c>
      <c r="M18" s="17">
        <f>'Datos Actividad'!$J14*'FE Sectorial'!$H17*'FE Sectorial'!N17/1000/1000</f>
        <v>144.4033848</v>
      </c>
      <c r="N18" s="17">
        <f>'Datos Actividad'!$J14*'FE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1613606.7427706402</v>
      </c>
    </row>
    <row r="19" spans="1:15" outlineLevel="1" x14ac:dyDescent="0.25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Actividad'!$J15*'FE Sectorial'!$H18*'FE Sectorial'!I18*'FE Sectorial'!P18/1000</f>
        <v>0</v>
      </c>
      <c r="I19" s="17">
        <f>'Datos Actividad'!$J15*'FE Sectorial'!$H18*'FE Sectorial'!J18/1000/1000</f>
        <v>0</v>
      </c>
      <c r="J19" s="17">
        <f>'Datos Actividad'!$J15*'FE Sectorial'!$H18*'FE Sectorial'!K18/1000/1000</f>
        <v>0</v>
      </c>
      <c r="K19" s="17">
        <f>'Datos Actividad'!$J15*'FE Sectorial'!$H18*'FE Sectorial'!L18/1000/1000</f>
        <v>0</v>
      </c>
      <c r="L19" s="17">
        <f>'Datos Actividad'!$J15*'FE Sectorial'!$H18*'FE Sectorial'!M18/1000/1000</f>
        <v>0</v>
      </c>
      <c r="M19" s="17">
        <f>'Datos Actividad'!$J15*'FE Sectorial'!$H18*'FE Sectorial'!N18/1000/1000</f>
        <v>0</v>
      </c>
      <c r="N19" s="17">
        <f>'Datos Actividad'!$J15*'FE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 x14ac:dyDescent="0.25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Actividad'!$J16*'FE Sectorial'!$H19*'FE Sectorial'!I19*'FE Sectorial'!P19/1000</f>
        <v>1639719.9135855273</v>
      </c>
      <c r="I20" s="17">
        <f>'Datos Actividad'!$J16*'FE Sectorial'!$H19*'FE Sectorial'!J19/1000/1000</f>
        <v>28.610411669205881</v>
      </c>
      <c r="J20" s="17">
        <f>'Datos Actividad'!$J16*'FE Sectorial'!$H19*'FE Sectorial'!K19/1000/1000</f>
        <v>2.8610411669205882</v>
      </c>
      <c r="K20" s="17">
        <f>'Datos Actividad'!$J16*'FE Sectorial'!$H19*'FE Sectorial'!L19/1000/1000</f>
        <v>4291.5617503808817</v>
      </c>
      <c r="L20" s="17">
        <f>'Datos Actividad'!$J16*'FE Sectorial'!$H19*'FE Sectorial'!M19/1000/1000</f>
        <v>572.20823338411765</v>
      </c>
      <c r="M20" s="17">
        <f>'Datos Actividad'!$J16*'FE Sectorial'!$H19*'FE Sectorial'!N19/1000/1000</f>
        <v>143.05205834602941</v>
      </c>
      <c r="N20" s="17">
        <f>'Datos Actividad'!$J16*'FE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1641207.6549923259</v>
      </c>
    </row>
    <row r="21" spans="1:15" outlineLevel="1" x14ac:dyDescent="0.25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Actividad'!$J17*'FE Sectorial'!$H20*'FE Sectorial'!I20*'FE Sectorial'!P20/1000</f>
        <v>11774.260070388349</v>
      </c>
      <c r="I21" s="17">
        <f>'Datos Actividad'!$J17*'FE Sectorial'!$H20*'FE Sectorial'!J20/1000/1000</f>
        <v>0.49901504854368933</v>
      </c>
      <c r="J21" s="17">
        <f>'Datos Actividad'!$J17*'FE Sectorial'!$H20*'FE Sectorial'!K20/1000/1000</f>
        <v>9.9803009708737844E-2</v>
      </c>
      <c r="K21" s="17">
        <f>'Datos Actividad'!$J17*'FE Sectorial'!$H20*'FE Sectorial'!L20/1000/1000</f>
        <v>33.267669902912615</v>
      </c>
      <c r="L21" s="17">
        <f>'Datos Actividad'!$J17*'FE Sectorial'!$H20*'FE Sectorial'!M20/1000/1000</f>
        <v>2.4950752427184466</v>
      </c>
      <c r="M21" s="17">
        <f>'Datos Actividad'!$J17*'FE Sectorial'!$H20*'FE Sectorial'!N20/1000/1000</f>
        <v>0.8316917475728155</v>
      </c>
      <c r="N21" s="17">
        <f>'Datos Actividad'!$J17*'FE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 x14ac:dyDescent="0.25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Actividad'!$J18*'FE Sectorial'!$H21*'FE Sectorial'!I21*'FE Sectorial'!P21/1000</f>
        <v>0</v>
      </c>
      <c r="I22" s="17">
        <f>'Datos Actividad'!$J18*'FE Sectorial'!$H21*'FE Sectorial'!J21/1000/1000</f>
        <v>0</v>
      </c>
      <c r="J22" s="17">
        <f>'Datos Actividad'!$J18*'FE Sectorial'!$H21*'FE Sectorial'!K21/1000/1000</f>
        <v>0</v>
      </c>
      <c r="K22" s="17">
        <f>'Datos Actividad'!$J18*'FE Sectorial'!$H21*'FE Sectorial'!L21/1000/1000</f>
        <v>0</v>
      </c>
      <c r="L22" s="17">
        <f>'Datos Actividad'!$J18*'FE Sectorial'!$H21*'FE Sectorial'!M21/1000/1000</f>
        <v>0</v>
      </c>
      <c r="M22" s="17">
        <f>'Datos Actividad'!$J18*'FE Sectorial'!$H21*'FE Sectorial'!N21/1000/1000</f>
        <v>0</v>
      </c>
      <c r="N22" s="17">
        <f>'Datos Actividad'!$J18*'FE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 x14ac:dyDescent="0.25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Actividad'!$J19*'FE Sectorial'!$H22*'FE Sectorial'!I22*'FE Sectorial'!P22/1000</f>
        <v>54569.997326382349</v>
      </c>
      <c r="I23" s="17">
        <f>'Datos Actividad'!$J19*'FE Sectorial'!$H22*'FE Sectorial'!J22/1000/1000</f>
        <v>2.231627911764706</v>
      </c>
      <c r="J23" s="17">
        <f>'Datos Actividad'!$J19*'FE Sectorial'!$H22*'FE Sectorial'!K22/1000/1000</f>
        <v>0.44632558235294117</v>
      </c>
      <c r="K23" s="17">
        <f>'Datos Actividad'!$J19*'FE Sectorial'!$H22*'FE Sectorial'!L22/1000/1000</f>
        <v>148.77519411764703</v>
      </c>
      <c r="L23" s="17">
        <f>'Datos Actividad'!$J19*'FE Sectorial'!$H22*'FE Sectorial'!M22/1000/1000</f>
        <v>11.15813955882353</v>
      </c>
      <c r="M23" s="17">
        <f>'Datos Actividad'!$J19*'FE Sectorial'!$H22*'FE Sectorial'!N22/1000/1000</f>
        <v>3.7193798529411763</v>
      </c>
      <c r="N23" s="17">
        <f>'Datos Actividad'!$J19*'FE Sectorial'!$H22*'FE Sectorial'!O22/1000/1000</f>
        <v>26.987128235294119</v>
      </c>
      <c r="O23" s="87">
        <f>IF(D23&lt;400,H23+I23*'Factores generales'!$M$41+J23*'Factores generales'!$N$41,I23*'Factores generales'!$M$41+J23*'Factores generales'!$N$41)</f>
        <v>54755.222443058818</v>
      </c>
    </row>
    <row r="24" spans="1:15" outlineLevel="1" x14ac:dyDescent="0.25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Actividad'!$J20*'FE Sectorial'!$H23*'FE Sectorial'!I23*'FE Sectorial'!P23/1000</f>
        <v>996872.89588354295</v>
      </c>
      <c r="I24" s="17">
        <f>'Datos Actividad'!$J20*'FE Sectorial'!$H23*'FE Sectorial'!J23/1000/1000</f>
        <v>39.028772057142852</v>
      </c>
      <c r="J24" s="17">
        <f>'Datos Actividad'!$J20*'FE Sectorial'!$H23*'FE Sectorial'!K23/1000/1000</f>
        <v>7.8057544114285715</v>
      </c>
      <c r="K24" s="17">
        <f>'Datos Actividad'!$J20*'FE Sectorial'!$H23*'FE Sectorial'!L23/1000/1000</f>
        <v>2601.9181371428572</v>
      </c>
      <c r="L24" s="17">
        <f>'Datos Actividad'!$J20*'FE Sectorial'!$H23*'FE Sectorial'!M23/1000/1000</f>
        <v>195.14386028571431</v>
      </c>
      <c r="M24" s="17">
        <f>'Datos Actividad'!$J20*'FE Sectorial'!$H23*'FE Sectorial'!N23/1000/1000</f>
        <v>65.047953428571432</v>
      </c>
      <c r="N24" s="17">
        <f>'Datos Actividad'!$J20*'FE Sectorial'!$H23*'FE Sectorial'!O23/1000/1000</f>
        <v>2576.1565714285716</v>
      </c>
      <c r="O24" s="87">
        <f>IF(D24&lt;400,H24+I24*'Factores generales'!$M$41+J24*'Factores generales'!$N$41,I24*'Factores generales'!$M$41+J24*'Factores generales'!$N$41)</f>
        <v>1000112.2839642859</v>
      </c>
    </row>
    <row r="25" spans="1:15" outlineLevel="1" x14ac:dyDescent="0.25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Actividad'!$J21*'FE Sectorial'!$H24*'FE Sectorial'!I24*'FE Sectorial'!P24/1000</f>
        <v>183870.88815789472</v>
      </c>
      <c r="I25" s="17">
        <f>'Datos Actividad'!$J21*'FE Sectorial'!$H24*'FE Sectorial'!J24/1000/1000</f>
        <v>1.924342105263158</v>
      </c>
      <c r="J25" s="17">
        <f>'Datos Actividad'!$J21*'FE Sectorial'!$H24*'FE Sectorial'!K24/1000/1000</f>
        <v>2.8865131578947376</v>
      </c>
      <c r="K25" s="17">
        <f>'Datos Actividad'!$J21*'FE Sectorial'!$H24*'FE Sectorial'!L24/1000/1000</f>
        <v>577.3026315789474</v>
      </c>
      <c r="L25" s="17">
        <f>'Datos Actividad'!$J21*'FE Sectorial'!$H24*'FE Sectorial'!M24/1000/1000</f>
        <v>38.486842105263158</v>
      </c>
      <c r="M25" s="17">
        <f>'Datos Actividad'!$J21*'FE Sectorial'!$H24*'FE Sectorial'!N24/1000/1000</f>
        <v>9.6217105263157894</v>
      </c>
      <c r="N25" s="17">
        <f>'Datos Actividad'!$J21*'FE Sectorial'!$H24*'FE Sectorial'!O24/1000/1000</f>
        <v>0</v>
      </c>
      <c r="O25" s="87">
        <f>IF(D25&lt;400,H25+I25*'Factores generales'!$M$41+J25*'Factores generales'!$N$41,I25*'Factores generales'!$M$41+J25*'Factores generales'!$N$41)</f>
        <v>184806.11842105261</v>
      </c>
    </row>
    <row r="26" spans="1:15" outlineLevel="1" x14ac:dyDescent="0.25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9352575.151938457</v>
      </c>
      <c r="I26" s="134">
        <f t="shared" ref="I26:O26" si="6">I27+I28</f>
        <v>170.51136681355933</v>
      </c>
      <c r="J26" s="134">
        <f t="shared" si="6"/>
        <v>18.539953520338983</v>
      </c>
      <c r="K26" s="134">
        <f t="shared" si="6"/>
        <v>25174.061344067795</v>
      </c>
      <c r="L26" s="134">
        <f t="shared" si="6"/>
        <v>3320.5664112711861</v>
      </c>
      <c r="M26" s="134">
        <f t="shared" si="6"/>
        <v>832.63218406779663</v>
      </c>
      <c r="N26" s="134">
        <f t="shared" si="6"/>
        <v>1611.316706779661</v>
      </c>
      <c r="O26" s="134">
        <f t="shared" si="6"/>
        <v>9361903.2762328479</v>
      </c>
    </row>
    <row r="27" spans="1:15" outlineLevel="1" x14ac:dyDescent="0.25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 x14ac:dyDescent="0.25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9352575.151938457</v>
      </c>
      <c r="I28" s="15">
        <f t="shared" si="7"/>
        <v>170.51136681355933</v>
      </c>
      <c r="J28" s="15">
        <f t="shared" si="7"/>
        <v>18.539953520338983</v>
      </c>
      <c r="K28" s="15">
        <f t="shared" si="7"/>
        <v>25174.061344067795</v>
      </c>
      <c r="L28" s="15">
        <f t="shared" si="7"/>
        <v>3320.5664112711861</v>
      </c>
      <c r="M28" s="15">
        <f t="shared" si="7"/>
        <v>832.63218406779663</v>
      </c>
      <c r="N28" s="15">
        <f t="shared" si="7"/>
        <v>1611.316706779661</v>
      </c>
      <c r="O28" s="15">
        <f t="shared" si="7"/>
        <v>9361903.2762328479</v>
      </c>
    </row>
    <row r="29" spans="1:15" outlineLevel="1" x14ac:dyDescent="0.25">
      <c r="B29" s="1" t="s">
        <v>7</v>
      </c>
      <c r="G29" s="1"/>
      <c r="H29" s="95">
        <f t="shared" ref="H29:O29" si="8">H30+H31</f>
        <v>61757.810451457626</v>
      </c>
      <c r="I29" s="95">
        <f t="shared" si="8"/>
        <v>0.74897181355932196</v>
      </c>
      <c r="J29" s="95">
        <f t="shared" si="8"/>
        <v>0.97722332033898329</v>
      </c>
      <c r="K29" s="95">
        <f t="shared" si="8"/>
        <v>198.44434406779661</v>
      </c>
      <c r="L29" s="95">
        <f t="shared" si="8"/>
        <v>13.292116271186442</v>
      </c>
      <c r="M29" s="95">
        <f t="shared" si="8"/>
        <v>3.3698990677966103</v>
      </c>
      <c r="N29" s="95">
        <f t="shared" si="8"/>
        <v>610.70722677966103</v>
      </c>
      <c r="O29" s="95">
        <f t="shared" si="8"/>
        <v>62076.478088847456</v>
      </c>
    </row>
    <row r="30" spans="1:15" outlineLevel="1" x14ac:dyDescent="0.25">
      <c r="D30" s="82">
        <v>103</v>
      </c>
      <c r="E30" s="11" t="s">
        <v>98</v>
      </c>
      <c r="F30" s="11" t="s">
        <v>248</v>
      </c>
      <c r="H30" s="17">
        <f>'Datos Actividad'!$J26*'FE Sectorial'!$H29*'FE Sectorial'!I29*'FE Sectorial'!P29/1000</f>
        <v>59007.141387457625</v>
      </c>
      <c r="I30" s="17">
        <f>'Datos Actividad'!$J26*'FE Sectorial'!$H29*'FE Sectorial'!J29/1000/1000</f>
        <v>0.63648381355932204</v>
      </c>
      <c r="J30" s="17">
        <f>'Datos Actividad'!$J26*'FE Sectorial'!$H29*'FE Sectorial'!K29/1000/1000</f>
        <v>0.95472572033898329</v>
      </c>
      <c r="K30" s="17">
        <f>'Datos Actividad'!$J26*'FE Sectorial'!$H29*'FE Sectorial'!L29/1000/1000</f>
        <v>190.9451440677966</v>
      </c>
      <c r="L30" s="17">
        <f>'Datos Actividad'!$J26*'FE Sectorial'!$H29*'FE Sectorial'!M29/1000/1000</f>
        <v>12.729676271186442</v>
      </c>
      <c r="M30" s="17">
        <f>'Datos Actividad'!$J26*'FE Sectorial'!$H29*'FE Sectorial'!N29/1000/1000</f>
        <v>3.1824190677966104</v>
      </c>
      <c r="N30" s="17">
        <f>'Datos Actividad'!$J26*'FE Sectorial'!$H29*'FE Sectorial'!O29/1000/1000</f>
        <v>609.34690677966103</v>
      </c>
      <c r="O30" s="87">
        <f>IF(D30&lt;400,H30+I30*'Factores generales'!$M$41+J30*'Factores generales'!$N$41,I30*'Factores generales'!$M$41+J30*'Factores generales'!$N$41)</f>
        <v>59316.472520847456</v>
      </c>
    </row>
    <row r="31" spans="1:15" outlineLevel="1" x14ac:dyDescent="0.25">
      <c r="D31" s="82">
        <v>206</v>
      </c>
      <c r="E31" s="11" t="s">
        <v>98</v>
      </c>
      <c r="F31" s="11" t="s">
        <v>249</v>
      </c>
      <c r="H31" s="17">
        <f>'Datos Actividad'!$J27*'FE Sectorial'!$H30*'FE Sectorial'!I30*'FE Sectorial'!P30/1000</f>
        <v>2750.6690639999993</v>
      </c>
      <c r="I31" s="17">
        <f>'Datos Actividad'!$J27*'FE Sectorial'!$H30*'FE Sectorial'!J30/1000/1000</f>
        <v>0.11248799999999998</v>
      </c>
      <c r="J31" s="17">
        <f>'Datos Actividad'!$J27*'FE Sectorial'!$H30*'FE Sectorial'!K30/1000/1000</f>
        <v>2.2497599999999996E-2</v>
      </c>
      <c r="K31" s="17">
        <f>'Datos Actividad'!$J27*'FE Sectorial'!$H30*'FE Sectorial'!L30/1000/1000</f>
        <v>7.4991999999999983</v>
      </c>
      <c r="L31" s="17">
        <f>'Datos Actividad'!$J27*'FE Sectorial'!$H30*'FE Sectorial'!M30/1000/1000</f>
        <v>0.56243999999999983</v>
      </c>
      <c r="M31" s="17">
        <f>'Datos Actividad'!$J27*'FE Sectorial'!$H30*'FE Sectorial'!N30/1000/1000</f>
        <v>0.18747999999999995</v>
      </c>
      <c r="N31" s="17">
        <f>'Datos Actividad'!$J27*'FE Sectorial'!$H30*'FE Sectorial'!O30/1000/1000</f>
        <v>1.3603199999999998</v>
      </c>
      <c r="O31" s="87">
        <f>IF(D31&lt;400,H31+I31*'Factores generales'!$M$41+J31*'Factores generales'!$N$41,I31*'Factores generales'!$M$41+J31*'Factores generales'!$N$41)</f>
        <v>2760.0055679999991</v>
      </c>
    </row>
    <row r="32" spans="1:15" outlineLevel="1" x14ac:dyDescent="0.25">
      <c r="B32" s="1" t="s">
        <v>6</v>
      </c>
      <c r="G32" s="1"/>
      <c r="H32" s="17">
        <f>H33+H34+H35</f>
        <v>9290817.3414869998</v>
      </c>
      <c r="I32" s="17">
        <f t="shared" ref="I32:O32" si="9">I33+I34+I35</f>
        <v>169.76239500000003</v>
      </c>
      <c r="J32" s="17">
        <f t="shared" si="9"/>
        <v>17.562730200000001</v>
      </c>
      <c r="K32" s="17">
        <f t="shared" si="9"/>
        <v>24975.616999999998</v>
      </c>
      <c r="L32" s="17">
        <f t="shared" si="9"/>
        <v>3307.2742949999997</v>
      </c>
      <c r="M32" s="17">
        <f t="shared" si="9"/>
        <v>829.26228500000002</v>
      </c>
      <c r="N32" s="17">
        <f t="shared" si="9"/>
        <v>1000.60948</v>
      </c>
      <c r="O32" s="17">
        <f t="shared" si="9"/>
        <v>9299826.7981439997</v>
      </c>
    </row>
    <row r="33" spans="1:15" outlineLevel="1" x14ac:dyDescent="0.25">
      <c r="D33" s="82">
        <v>301</v>
      </c>
      <c r="E33" s="11" t="s">
        <v>98</v>
      </c>
      <c r="F33" s="11" t="s">
        <v>8</v>
      </c>
      <c r="H33" s="17">
        <f>'Datos Actividad'!$J29*'FE Sectorial'!$H32*'FE Sectorial'!I32*'FE Sectorial'!P32/1000</f>
        <v>9148675.8314159997</v>
      </c>
      <c r="I33" s="17">
        <f>'Datos Actividad'!$J29*'FE Sectorial'!$H32*'FE Sectorial'!J32/1000/1000</f>
        <v>163.89748800000001</v>
      </c>
      <c r="J33" s="17">
        <f>'Datos Actividad'!$J29*'FE Sectorial'!$H32*'FE Sectorial'!K32/1000/1000</f>
        <v>16.3897488</v>
      </c>
      <c r="K33" s="17">
        <f>'Datos Actividad'!$J29*'FE Sectorial'!$H32*'FE Sectorial'!L32/1000/1000</f>
        <v>24584.623199999998</v>
      </c>
      <c r="L33" s="17">
        <f>'Datos Actividad'!$J29*'FE Sectorial'!$H32*'FE Sectorial'!M32/1000/1000</f>
        <v>3277.94976</v>
      </c>
      <c r="M33" s="17">
        <f>'Datos Actividad'!$J29*'FE Sectorial'!$H32*'FE Sectorial'!N32/1000/1000</f>
        <v>819.48743999999999</v>
      </c>
      <c r="N33" s="17">
        <f>'Datos Actividad'!$J29*'FE Sectorial'!$H32*'FE Sectorial'!O32/1000/1000</f>
        <v>0</v>
      </c>
      <c r="O33" s="87">
        <f>IF(D33&lt;400,H33+I33*'Factores generales'!$M$41+J33*'Factores generales'!$N$41,I33*'Factores generales'!$M$41+J33*'Factores generales'!$N$41)</f>
        <v>9157198.5007919986</v>
      </c>
    </row>
    <row r="34" spans="1:15" outlineLevel="1" x14ac:dyDescent="0.25">
      <c r="D34" s="82">
        <v>206</v>
      </c>
      <c r="E34" s="11" t="s">
        <v>98</v>
      </c>
      <c r="F34" s="11" t="s">
        <v>249</v>
      </c>
      <c r="H34" s="17">
        <f>'Datos Actividad'!$J30*'FE Sectorial'!$H33*'FE Sectorial'!I33*'FE Sectorial'!P33/1000</f>
        <v>25497.314270999999</v>
      </c>
      <c r="I34" s="17">
        <f>'Datos Actividad'!$J30*'FE Sectorial'!$H33*'FE Sectorial'!J33/1000/1000</f>
        <v>1.0427070000000001</v>
      </c>
      <c r="J34" s="17">
        <f>'Datos Actividad'!$J30*'FE Sectorial'!$H33*'FE Sectorial'!K33/1000/1000</f>
        <v>0.20854139999999999</v>
      </c>
      <c r="K34" s="17">
        <f>'Datos Actividad'!$J30*'FE Sectorial'!$H33*'FE Sectorial'!L33/1000/1000</f>
        <v>69.513800000000003</v>
      </c>
      <c r="L34" s="17">
        <f>'Datos Actividad'!$J30*'FE Sectorial'!$H33*'FE Sectorial'!M33/1000/1000</f>
        <v>5.2135350000000003</v>
      </c>
      <c r="M34" s="17">
        <f>'Datos Actividad'!$J30*'FE Sectorial'!$H33*'FE Sectorial'!N33/1000/1000</f>
        <v>1.7378450000000001</v>
      </c>
      <c r="N34" s="17">
        <f>'Datos Actividad'!$J30*'FE Sectorial'!$H33*'FE Sectorial'!O33/1000/1000</f>
        <v>12.60948</v>
      </c>
      <c r="O34" s="87">
        <f>IF(D34&lt;400,H34+I34*'Factores generales'!$M$41+J34*'Factores generales'!$N$41,I34*'Factores generales'!$M$41+J34*'Factores generales'!$N$41)</f>
        <v>25583.858951999999</v>
      </c>
    </row>
    <row r="35" spans="1:15" outlineLevel="1" x14ac:dyDescent="0.25">
      <c r="D35" s="82">
        <v>201</v>
      </c>
      <c r="E35" s="11" t="s">
        <v>98</v>
      </c>
      <c r="F35" s="11" t="s">
        <v>269</v>
      </c>
      <c r="H35" s="17">
        <f>'Datos Actividad'!$J31*'FE Sectorial'!$H34*'FE Sectorial'!I34*'FE Sectorial'!P34/1000</f>
        <v>116644.1958</v>
      </c>
      <c r="I35" s="17">
        <f>'Datos Actividad'!$J31*'FE Sectorial'!$H34*'FE Sectorial'!J34/1000/1000</f>
        <v>4.8221999999999996</v>
      </c>
      <c r="J35" s="17">
        <f>'Datos Actividad'!$J31*'FE Sectorial'!$H34*'FE Sectorial'!K34/1000/1000</f>
        <v>0.96444000000000007</v>
      </c>
      <c r="K35" s="17">
        <f>'Datos Actividad'!$J31*'FE Sectorial'!$H34*'FE Sectorial'!L34/1000/1000</f>
        <v>321.48</v>
      </c>
      <c r="L35" s="17">
        <f>'Datos Actividad'!$J31*'FE Sectorial'!$H34*'FE Sectorial'!M34/1000/1000</f>
        <v>24.111000000000001</v>
      </c>
      <c r="M35" s="17">
        <f>'Datos Actividad'!$J31*'FE Sectorial'!$H34*'FE Sectorial'!N34/1000/1000</f>
        <v>8.0370000000000008</v>
      </c>
      <c r="N35" s="17">
        <f>'Datos Actividad'!$J31*'FE Sectorial'!$H34*'FE Sectorial'!O34/1000/1000</f>
        <v>988</v>
      </c>
      <c r="O35" s="87">
        <f>IF(D35&lt;400,H35+I35*'Factores generales'!$M$41+J35*'Factores generales'!$N$41,I35*'Factores generales'!$M$41+J35*'Factores generales'!$N$41)</f>
        <v>117044.4384</v>
      </c>
    </row>
    <row r="36" spans="1:15" x14ac:dyDescent="0.2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24168116.064833768</v>
      </c>
      <c r="I36" s="129">
        <f t="shared" si="10"/>
        <v>3685.8680790558442</v>
      </c>
      <c r="J36" s="129">
        <f t="shared" si="10"/>
        <v>506.63781853562654</v>
      </c>
      <c r="K36" s="129">
        <f t="shared" si="10"/>
        <v>70683.91972172352</v>
      </c>
      <c r="L36" s="129">
        <f t="shared" si="10"/>
        <v>416819.59791967669</v>
      </c>
      <c r="M36" s="129">
        <f t="shared" si="10"/>
        <v>7519.7264604357097</v>
      </c>
      <c r="N36" s="129">
        <f t="shared" si="10"/>
        <v>7725.8972413967067</v>
      </c>
      <c r="O36" s="129">
        <f t="shared" si="10"/>
        <v>24402577.018239986</v>
      </c>
    </row>
    <row r="37" spans="1:15" outlineLevel="1" x14ac:dyDescent="0.25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6914187.4753640303</v>
      </c>
      <c r="I37" s="134">
        <f t="shared" ref="I37:O37" si="11">SUM(I38:I44)</f>
        <v>82.336264264473698</v>
      </c>
      <c r="J37" s="134">
        <f t="shared" si="11"/>
        <v>26.57130383171053</v>
      </c>
      <c r="K37" s="134">
        <f t="shared" si="11"/>
        <v>13932.336758092106</v>
      </c>
      <c r="L37" s="134">
        <f t="shared" si="11"/>
        <v>3898.439742671053</v>
      </c>
      <c r="M37" s="134">
        <f t="shared" si="11"/>
        <v>590.22529816447377</v>
      </c>
      <c r="N37" s="134">
        <f t="shared" si="11"/>
        <v>268.39019999999999</v>
      </c>
      <c r="O37" s="134">
        <f t="shared" si="11"/>
        <v>6924153.6411014153</v>
      </c>
    </row>
    <row r="38" spans="1:15" outlineLevel="1" x14ac:dyDescent="0.25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Actividad'!$J34*'FE Sectorial'!$H37*'FE Sectorial'!I37*'FE Sectorial'!P37/1000</f>
        <v>2688533.6380174798</v>
      </c>
      <c r="I38" s="17">
        <f>'Datos Actividad'!$J34*'FE Sectorial'!$H37*'FE Sectorial'!J37/1000/1000</f>
        <v>48.164774640000005</v>
      </c>
      <c r="J38" s="17">
        <f>'Datos Actividad'!$J34*'FE Sectorial'!$H37*'FE Sectorial'!K37/1000/1000</f>
        <v>4.8164774640000001</v>
      </c>
      <c r="K38" s="17">
        <f>'Datos Actividad'!$J34*'FE Sectorial'!$H37*'FE Sectorial'!L37/1000/1000</f>
        <v>7224.7161960000003</v>
      </c>
      <c r="L38" s="17">
        <f>'Datos Actividad'!$J34*'FE Sectorial'!$H37*'FE Sectorial'!M37/1000/1000</f>
        <v>1444.9432391999999</v>
      </c>
      <c r="M38" s="17">
        <f>'Datos Actividad'!$J34*'FE Sectorial'!$H37*'FE Sectorial'!N37/1000/1000</f>
        <v>240.82387320000001</v>
      </c>
      <c r="N38" s="17">
        <f>'Datos Actividad'!$J34*'FE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2691038.2062987597</v>
      </c>
    </row>
    <row r="39" spans="1:15" outlineLevel="1" x14ac:dyDescent="0.25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Actividad'!$J35*'FE Sectorial'!$H38*'FE Sectorial'!I38*'FE Sectorial'!P38/1000</f>
        <v>2573404.5531285</v>
      </c>
      <c r="I39" s="17">
        <f>'Datos Actividad'!$J35*'FE Sectorial'!$H38*'FE Sectorial'!J38/1000/1000</f>
        <v>9.9474470550000031</v>
      </c>
      <c r="J39" s="17">
        <f>'Datos Actividad'!$J35*'FE Sectorial'!$H38*'FE Sectorial'!K38/1000/1000</f>
        <v>0.99474470550000016</v>
      </c>
      <c r="K39" s="17">
        <f>'Datos Actividad'!$J35*'FE Sectorial'!$H38*'FE Sectorial'!L38/1000/1000</f>
        <v>1492.1170582500001</v>
      </c>
      <c r="L39" s="17">
        <f>'Datos Actividad'!$J35*'FE Sectorial'!$H38*'FE Sectorial'!M38/1000/1000</f>
        <v>298.42341165000005</v>
      </c>
      <c r="M39" s="17">
        <f>'Datos Actividad'!$J35*'FE Sectorial'!$H38*'FE Sectorial'!N38/1000/1000</f>
        <v>49.737235275000003</v>
      </c>
      <c r="N39" s="17">
        <f>'Datos Actividad'!$J35*'FE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2573921.8203753601</v>
      </c>
    </row>
    <row r="40" spans="1:15" outlineLevel="1" x14ac:dyDescent="0.25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Actividad'!$J36*'FE Sectorial'!$H39*'FE Sectorial'!I39*'FE Sectorial'!P39/1000</f>
        <v>324514.96735284</v>
      </c>
      <c r="I40" s="17">
        <f>'Datos Actividad'!$J36*'FE Sectorial'!$H39*'FE Sectorial'!J39/1000/1000</f>
        <v>7.3456237799999995</v>
      </c>
      <c r="J40" s="17">
        <f>'Datos Actividad'!$J36*'FE Sectorial'!$H39*'FE Sectorial'!K39/1000/1000</f>
        <v>0.73456237800000013</v>
      </c>
      <c r="K40" s="17">
        <f>'Datos Actividad'!$J36*'FE Sectorial'!$H39*'FE Sectorial'!L39/1000/1000</f>
        <v>1101.8435670000001</v>
      </c>
      <c r="L40" s="17">
        <f>'Datos Actividad'!$J36*'FE Sectorial'!$H39*'FE Sectorial'!M39/1000/1000</f>
        <v>220.36871340000002</v>
      </c>
      <c r="M40" s="17">
        <f>'Datos Actividad'!$J36*'FE Sectorial'!$H39*'FE Sectorial'!N39/1000/1000</f>
        <v>36.728118899999998</v>
      </c>
      <c r="N40" s="17">
        <f>'Datos Actividad'!$J36*'FE Sectorial'!$H39*'FE Sectorial'!O39/1000/1000</f>
        <v>0</v>
      </c>
      <c r="O40" s="87">
        <f>IF(D40&lt;400,H40+I40*'Factores generales'!$M$41+J40*'Factores generales'!$N$41,I40*'Factores generales'!$M$41+J40*'Factores generales'!$N$41)</f>
        <v>324896.93978940003</v>
      </c>
    </row>
    <row r="41" spans="1:15" outlineLevel="1" x14ac:dyDescent="0.25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Actividad'!$J37*'FE Sectorial'!$H40*'FE Sectorial'!I40*'FE Sectorial'!P40/1000</f>
        <v>141.94966500000001</v>
      </c>
      <c r="I41" s="17">
        <f>'Datos Actividad'!$J37*'FE Sectorial'!$H40*'FE Sectorial'!J40/1000/1000</f>
        <v>5.8049999999999994E-3</v>
      </c>
      <c r="J41" s="17">
        <f>'Datos Actividad'!$J37*'FE Sectorial'!$H40*'FE Sectorial'!K40/1000/1000</f>
        <v>1.1610000000000001E-3</v>
      </c>
      <c r="K41" s="17">
        <f>'Datos Actividad'!$J37*'FE Sectorial'!$H40*'FE Sectorial'!L40/1000/1000</f>
        <v>0.38700000000000001</v>
      </c>
      <c r="L41" s="17">
        <f>'Datos Actividad'!$J37*'FE Sectorial'!$H40*'FE Sectorial'!M40/1000/1000</f>
        <v>1.9350000000000003E-2</v>
      </c>
      <c r="M41" s="17">
        <f>'Datos Actividad'!$J37*'FE Sectorial'!$H40*'FE Sectorial'!N40/1000/1000</f>
        <v>9.6750000000000013E-3</v>
      </c>
      <c r="N41" s="17">
        <f>'Datos Actividad'!$J37*'FE Sectorial'!$H40*'FE Sectorial'!O40/1000/1000</f>
        <v>7.0199999999999999E-2</v>
      </c>
      <c r="O41" s="87">
        <f>IF(D41&lt;400,H41+I41*'Factores generales'!$M$41+J41*'Factores generales'!$N$41,I41*'Factores generales'!$M$41+J41*'Factores generales'!$N$41)</f>
        <v>142.43148000000002</v>
      </c>
    </row>
    <row r="42" spans="1:15" outlineLevel="1" x14ac:dyDescent="0.25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Actividad'!$J38*'FE Sectorial'!$H41*'FE Sectorial'!I41*'FE Sectorial'!P41/1000</f>
        <v>103829.456016</v>
      </c>
      <c r="I42" s="17">
        <f>'Datos Actividad'!$J38*'FE Sectorial'!$H41*'FE Sectorial'!J41/1000/1000</f>
        <v>4.065048</v>
      </c>
      <c r="J42" s="17">
        <f>'Datos Actividad'!$J38*'FE Sectorial'!$H41*'FE Sectorial'!K41/1000/1000</f>
        <v>0.8130096</v>
      </c>
      <c r="K42" s="17">
        <f>'Datos Actividad'!$J38*'FE Sectorial'!$H41*'FE Sectorial'!L41/1000/1000</f>
        <v>271.00319999999999</v>
      </c>
      <c r="L42" s="17">
        <f>'Datos Actividad'!$J38*'FE Sectorial'!$H41*'FE Sectorial'!M41/1000/1000</f>
        <v>13.55016</v>
      </c>
      <c r="M42" s="17">
        <f>'Datos Actividad'!$J38*'FE Sectorial'!$H41*'FE Sectorial'!N41/1000/1000</f>
        <v>6.77508</v>
      </c>
      <c r="N42" s="17">
        <f>'Datos Actividad'!$J38*'FE Sectorial'!$H41*'FE Sectorial'!O41/1000/1000</f>
        <v>268.32</v>
      </c>
      <c r="O42" s="87">
        <f>IF(D42&lt;400,H42+I42*'Factores generales'!$M$41+J42*'Factores generales'!$N$41,I42*'Factores generales'!$M$41+J42*'Factores generales'!$N$41)</f>
        <v>104166.855</v>
      </c>
    </row>
    <row r="43" spans="1:15" outlineLevel="1" x14ac:dyDescent="0.25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Actividad'!$J39*'FE Sectorial'!$H42*'FE Sectorial'!I42*'FE Sectorial'!P42/1000</f>
        <v>563870.72368421056</v>
      </c>
      <c r="I43" s="17">
        <f>'Datos Actividad'!$J39*'FE Sectorial'!$H42*'FE Sectorial'!J42/1000/1000</f>
        <v>5.9013157894736841</v>
      </c>
      <c r="J43" s="17">
        <f>'Datos Actividad'!$J39*'FE Sectorial'!$H42*'FE Sectorial'!K42/1000/1000</f>
        <v>8.8519736842105292</v>
      </c>
      <c r="K43" s="17">
        <f>'Datos Actividad'!$J39*'FE Sectorial'!$H42*'FE Sectorial'!L42/1000/1000</f>
        <v>1770.3947368421054</v>
      </c>
      <c r="L43" s="17">
        <f>'Datos Actividad'!$J39*'FE Sectorial'!$H42*'FE Sectorial'!M42/1000/1000</f>
        <v>885.19736842105272</v>
      </c>
      <c r="M43" s="17">
        <f>'Datos Actividad'!$J39*'FE Sectorial'!$H42*'FE Sectorial'!N42/1000/1000</f>
        <v>118.02631578947368</v>
      </c>
      <c r="N43" s="17">
        <f>'Datos Actividad'!$J39*'FE Sectorial'!$H42*'FE Sectorial'!O42/1000/1000</f>
        <v>0</v>
      </c>
      <c r="O43" s="87">
        <f>IF(D43&lt;400,H43+I43*'Factores generales'!$M$41+J43*'Factores generales'!$N$41,I43*'Factores generales'!$M$41+J43*'Factores generales'!$N$41)</f>
        <v>566738.76315789483</v>
      </c>
    </row>
    <row r="44" spans="1:15" outlineLevel="1" x14ac:dyDescent="0.25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Actividad'!$J40*'FE Sectorial'!$H43*'FE Sectorial'!I43*'FE Sectorial'!P43/1000</f>
        <v>659892.1875</v>
      </c>
      <c r="I44" s="17">
        <f>'Datos Actividad'!$J40*'FE Sectorial'!$H43*'FE Sectorial'!J43/1000/1000</f>
        <v>6.90625</v>
      </c>
      <c r="J44" s="17">
        <f>'Datos Actividad'!$J40*'FE Sectorial'!$H43*'FE Sectorial'!K43/1000/1000</f>
        <v>10.359375000000002</v>
      </c>
      <c r="K44" s="17">
        <f>'Datos Actividad'!$J40*'FE Sectorial'!$H43*'FE Sectorial'!L43/1000/1000</f>
        <v>2071.875</v>
      </c>
      <c r="L44" s="17">
        <f>'Datos Actividad'!$J40*'FE Sectorial'!$H43*'FE Sectorial'!M43/1000/1000</f>
        <v>1035.9375</v>
      </c>
      <c r="M44" s="17">
        <f>'Datos Actividad'!$J40*'FE Sectorial'!$H43*'FE Sectorial'!N43/1000/1000</f>
        <v>138.125</v>
      </c>
      <c r="N44" s="17">
        <f>'Datos Actividad'!$J40*'FE Sectorial'!$H43*'FE Sectorial'!O43/1000/1000</f>
        <v>0</v>
      </c>
      <c r="O44" s="87">
        <f>IF(D44&lt;400,H44+I44*'Factores generales'!$M$41+J44*'Factores generales'!$N$41,I44*'Factores generales'!$M$41+J44*'Factores generales'!$N$41)</f>
        <v>663248.625</v>
      </c>
    </row>
    <row r="45" spans="1:15" outlineLevel="1" x14ac:dyDescent="0.25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697607.24140324793</v>
      </c>
      <c r="I45" s="134">
        <f t="shared" ref="I45:O45" si="12">I46</f>
        <v>12.497554463999998</v>
      </c>
      <c r="J45" s="134">
        <f t="shared" si="12"/>
        <v>1.2497554464</v>
      </c>
      <c r="K45" s="134">
        <f t="shared" si="12"/>
        <v>1874.6331696</v>
      </c>
      <c r="L45" s="134">
        <f t="shared" si="12"/>
        <v>374.92663391999997</v>
      </c>
      <c r="M45" s="134">
        <f t="shared" si="12"/>
        <v>62.487772320000005</v>
      </c>
      <c r="N45" s="134">
        <f t="shared" si="12"/>
        <v>0</v>
      </c>
      <c r="O45" s="134">
        <f t="shared" si="12"/>
        <v>698257.11423537589</v>
      </c>
    </row>
    <row r="46" spans="1:15" outlineLevel="1" x14ac:dyDescent="0.25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Actividad'!$J42*'FE Sectorial'!$H45*'FE Sectorial'!I45*'FE Sectorial'!P45/1000</f>
        <v>697607.24140324793</v>
      </c>
      <c r="I46" s="17">
        <f>'Datos Actividad'!$J42*'FE Sectorial'!$H45*'FE Sectorial'!J45/1000/1000</f>
        <v>12.497554463999998</v>
      </c>
      <c r="J46" s="17">
        <f>'Datos Actividad'!$J42*'FE Sectorial'!$H45*'FE Sectorial'!K45/1000/1000</f>
        <v>1.2497554464</v>
      </c>
      <c r="K46" s="17">
        <f>'Datos Actividad'!$J42*'FE Sectorial'!$H45*'FE Sectorial'!L45/1000/1000</f>
        <v>1874.6331696</v>
      </c>
      <c r="L46" s="17">
        <f>'Datos Actividad'!$J42*'FE Sectorial'!$H45*'FE Sectorial'!M45/1000/1000</f>
        <v>374.92663391999997</v>
      </c>
      <c r="M46" s="17">
        <f>'Datos Actividad'!$J42*'FE Sectorial'!$H45*'FE Sectorial'!N45/1000/1000</f>
        <v>62.487772320000005</v>
      </c>
      <c r="N46" s="17">
        <f>'Datos Actividad'!$J42*'FE Sectorial'!$H45*'FE Sectorial'!O45/1000/1000</f>
        <v>0</v>
      </c>
      <c r="O46" s="87">
        <f>IF(D46&lt;400,H46+I46*'Factores generales'!$M$41+J46*'Factores generales'!$N$41,I46*'Factores generales'!$M$41+J46*'Factores generales'!$N$41)</f>
        <v>698257.11423537589</v>
      </c>
    </row>
    <row r="47" spans="1:15" outlineLevel="1" x14ac:dyDescent="0.25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1193145.0240869282</v>
      </c>
      <c r="I47" s="134">
        <f t="shared" ref="I47:O47" si="13">SUM(I48:I55)</f>
        <v>111.08529893997711</v>
      </c>
      <c r="J47" s="134">
        <f t="shared" si="13"/>
        <v>14.124705859113613</v>
      </c>
      <c r="K47" s="134">
        <f t="shared" si="13"/>
        <v>3501.1454734865906</v>
      </c>
      <c r="L47" s="134">
        <f t="shared" si="13"/>
        <v>12579.321163058612</v>
      </c>
      <c r="M47" s="134">
        <f t="shared" si="13"/>
        <v>255.85609218829518</v>
      </c>
      <c r="N47" s="134">
        <f t="shared" si="13"/>
        <v>18.490428000000001</v>
      </c>
      <c r="O47" s="134">
        <f t="shared" si="13"/>
        <v>1199856.4741809929</v>
      </c>
    </row>
    <row r="48" spans="1:15" outlineLevel="1" x14ac:dyDescent="0.25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Actividad'!$J44*'FE Sectorial'!$H47*'FE Sectorial'!I47*'FE Sectorial'!P47/1000</f>
        <v>1159190.5902999842</v>
      </c>
      <c r="I48" s="17">
        <f>'Datos Actividad'!$J44*'FE Sectorial'!$H47*'FE Sectorial'!J47/1000/1000</f>
        <v>20.766767712</v>
      </c>
      <c r="J48" s="17">
        <f>'Datos Actividad'!$J44*'FE Sectorial'!$H47*'FE Sectorial'!K47/1000/1000</f>
        <v>2.0766767712000007</v>
      </c>
      <c r="K48" s="17">
        <f>'Datos Actividad'!$J44*'FE Sectorial'!$H47*'FE Sectorial'!L47/1000/1000</f>
        <v>3115.0151568000001</v>
      </c>
      <c r="L48" s="17">
        <f>'Datos Actividad'!$J44*'FE Sectorial'!$H47*'FE Sectorial'!M47/1000/1000</f>
        <v>623.00303136000002</v>
      </c>
      <c r="M48" s="17">
        <f>'Datos Actividad'!$J44*'FE Sectorial'!$H47*'FE Sectorial'!N47/1000/1000</f>
        <v>103.83383856</v>
      </c>
      <c r="N48" s="17">
        <f>'Datos Actividad'!$J44*'FE Sectorial'!$H47*'FE Sectorial'!O47/1000/1000</f>
        <v>0</v>
      </c>
      <c r="O48" s="87">
        <f>IF(D48&lt;400,H48+I48*'Factores generales'!$M$41+J48*'Factores generales'!$N$41,I48*'Factores generales'!$M$41+J48*'Factores generales'!$N$41)</f>
        <v>1160270.4622210083</v>
      </c>
    </row>
    <row r="49" spans="1:15" outlineLevel="1" x14ac:dyDescent="0.25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Actividad'!$J45*'FE Sectorial'!$H48*'FE Sectorial'!I48*'FE Sectorial'!P48/1000</f>
        <v>19935.633866544002</v>
      </c>
      <c r="I49" s="17">
        <f>'Datos Actividad'!$J45*'FE Sectorial'!$H48*'FE Sectorial'!J48/1000/1000</f>
        <v>0.34784397449999999</v>
      </c>
      <c r="J49" s="17">
        <f>'Datos Actividad'!$J45*'FE Sectorial'!$H48*'FE Sectorial'!K48/1000/1000</f>
        <v>3.4784397450000004E-2</v>
      </c>
      <c r="K49" s="17">
        <f>'Datos Actividad'!$J45*'FE Sectorial'!$H48*'FE Sectorial'!L48/1000/1000</f>
        <v>52.176596175000007</v>
      </c>
      <c r="L49" s="17">
        <f>'Datos Actividad'!$J45*'FE Sectorial'!$H48*'FE Sectorial'!M48/1000/1000</f>
        <v>10.435319235</v>
      </c>
      <c r="M49" s="17">
        <f>'Datos Actividad'!$J45*'FE Sectorial'!$H48*'FE Sectorial'!N48/1000/1000</f>
        <v>1.7392198725000001</v>
      </c>
      <c r="N49" s="17">
        <f>'Datos Actividad'!$J45*'FE Sectorial'!$H48*'FE Sectorial'!O48/1000/1000</f>
        <v>0</v>
      </c>
      <c r="O49" s="87">
        <f>IF(D49&lt;400,H49+I49*'Factores generales'!$M$41+J49*'Factores generales'!$N$41,I49*'Factores generales'!$M$41+J49*'Factores generales'!$N$41)</f>
        <v>19953.721753218</v>
      </c>
    </row>
    <row r="50" spans="1:15" outlineLevel="1" x14ac:dyDescent="0.25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Actividad'!$J46*'FE Sectorial'!$H49*'FE Sectorial'!I49*'FE Sectorial'!P49/1000</f>
        <v>997.74842309999985</v>
      </c>
      <c r="I50" s="17">
        <f>'Datos Actividad'!$J46*'FE Sectorial'!$H49*'FE Sectorial'!J49/1000/1000</f>
        <v>4.0802699999999997E-2</v>
      </c>
      <c r="J50" s="17">
        <f>'Datos Actividad'!$J46*'FE Sectorial'!$H49*'FE Sectorial'!K49/1000/1000</f>
        <v>8.1605399999999991E-3</v>
      </c>
      <c r="K50" s="17">
        <f>'Datos Actividad'!$J46*'FE Sectorial'!$H49*'FE Sectorial'!L49/1000/1000</f>
        <v>2.72018</v>
      </c>
      <c r="L50" s="17">
        <f>'Datos Actividad'!$J46*'FE Sectorial'!$H49*'FE Sectorial'!M49/1000/1000</f>
        <v>0.13600899999999999</v>
      </c>
      <c r="M50" s="17">
        <f>'Datos Actividad'!$J46*'FE Sectorial'!$H49*'FE Sectorial'!N49/1000/1000</f>
        <v>6.8004499999999996E-2</v>
      </c>
      <c r="N50" s="17">
        <f>'Datos Actividad'!$J46*'FE Sectorial'!$H49*'FE Sectorial'!O49/1000/1000</f>
        <v>0.49342799999999998</v>
      </c>
      <c r="O50" s="87">
        <f>IF(D50&lt;400,H50+I50*'Factores generales'!$M$41+J50*'Factores generales'!$N$41,I50*'Factores generales'!$M$41+J50*'Factores generales'!$N$41)</f>
        <v>1001.1350471999998</v>
      </c>
    </row>
    <row r="51" spans="1:15" outlineLevel="1" x14ac:dyDescent="0.25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Actividad'!$J47*'FE Sectorial'!$H50*'FE Sectorial'!I50*'FE Sectorial'!P50/1000</f>
        <v>6219.8196884999998</v>
      </c>
      <c r="I51" s="17">
        <f>'Datos Actividad'!$J47*'FE Sectorial'!$H50*'FE Sectorial'!J50/1000/1000</f>
        <v>9.9566500000000002E-2</v>
      </c>
      <c r="J51" s="17">
        <f>'Datos Actividad'!$J47*'FE Sectorial'!$H50*'FE Sectorial'!K50/1000/1000</f>
        <v>9.9566500000000009E-3</v>
      </c>
      <c r="K51" s="17">
        <f>'Datos Actividad'!$J47*'FE Sectorial'!$H50*'FE Sectorial'!L50/1000/1000</f>
        <v>14.934975</v>
      </c>
      <c r="L51" s="17">
        <f>'Datos Actividad'!$J47*'FE Sectorial'!$H50*'FE Sectorial'!M50/1000/1000</f>
        <v>2.9869949999999998</v>
      </c>
      <c r="M51" s="17">
        <f>'Datos Actividad'!$J47*'FE Sectorial'!$H50*'FE Sectorial'!N50/1000/1000</f>
        <v>0.49783249999999996</v>
      </c>
      <c r="N51" s="17">
        <f>'Datos Actividad'!$J47*'FE Sectorial'!$H50*'FE Sectorial'!O50/1000/1000</f>
        <v>0.42100000000000004</v>
      </c>
      <c r="O51" s="87">
        <f>IF(D51&lt;400,H51+I51*'Factores generales'!$M$41+J51*'Factores generales'!$N$41,I51*'Factores generales'!$M$41+J51*'Factores generales'!$N$41)</f>
        <v>6224.9971464999999</v>
      </c>
    </row>
    <row r="52" spans="1:15" outlineLevel="1" x14ac:dyDescent="0.25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Actividad'!$J48*'FE Sectorial'!$H51*'FE Sectorial'!I51*'FE Sectorial'!P51/1000</f>
        <v>6801.2318088000011</v>
      </c>
      <c r="I52" s="17">
        <f>'Datos Actividad'!$J48*'FE Sectorial'!$H51*'FE Sectorial'!J51/1000/1000</f>
        <v>0.26627640000000002</v>
      </c>
      <c r="J52" s="17">
        <f>'Datos Actividad'!$J48*'FE Sectorial'!$H51*'FE Sectorial'!K51/1000/1000</f>
        <v>5.3255280000000002E-2</v>
      </c>
      <c r="K52" s="17">
        <f>'Datos Actividad'!$J48*'FE Sectorial'!$H51*'FE Sectorial'!L51/1000/1000</f>
        <v>17.751759999999997</v>
      </c>
      <c r="L52" s="17">
        <f>'Datos Actividad'!$J48*'FE Sectorial'!$H51*'FE Sectorial'!M51/1000/1000</f>
        <v>0.88758799999999993</v>
      </c>
      <c r="M52" s="17">
        <f>'Datos Actividad'!$J48*'FE Sectorial'!$H51*'FE Sectorial'!N51/1000/1000</f>
        <v>0.44379399999999997</v>
      </c>
      <c r="N52" s="17">
        <f>'Datos Actividad'!$J48*'FE Sectorial'!$H51*'FE Sectorial'!O51/1000/1000</f>
        <v>17.576000000000001</v>
      </c>
      <c r="O52" s="87">
        <f>IF(D52&lt;400,H52+I52*'Factores generales'!$M$41+J52*'Factores generales'!$N$41,I52*'Factores generales'!$M$41+J52*'Factores generales'!$N$41)</f>
        <v>6823.3327500000014</v>
      </c>
    </row>
    <row r="53" spans="1:15" outlineLevel="1" x14ac:dyDescent="0.25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Actividad'!$J49*'FE Sectorial'!$H52*'FE Sectorial'!I52*'FE Sectorial'!P52/1000</f>
        <v>259735.72079508356</v>
      </c>
      <c r="I53" s="17">
        <f>'Datos Actividad'!$J49*'FE Sectorial'!$H52*'FE Sectorial'!J52/1000/1000</f>
        <v>89.564041653477105</v>
      </c>
      <c r="J53" s="17">
        <f>'Datos Actividad'!$J49*'FE Sectorial'!$H52*'FE Sectorial'!K52/1000/1000</f>
        <v>11.941872220463612</v>
      </c>
      <c r="K53" s="17">
        <f>'Datos Actividad'!$J49*'FE Sectorial'!$H52*'FE Sectorial'!L52/1000/1000</f>
        <v>298.54680551159032</v>
      </c>
      <c r="L53" s="17">
        <f>'Datos Actividad'!$J49*'FE Sectorial'!$H52*'FE Sectorial'!M52/1000/1000</f>
        <v>11941.872220463612</v>
      </c>
      <c r="M53" s="17">
        <f>'Datos Actividad'!$J49*'FE Sectorial'!$H52*'FE Sectorial'!N52/1000/1000</f>
        <v>149.27340275579516</v>
      </c>
      <c r="N53" s="17">
        <f>'Datos Actividad'!$J49*'FE Sectorial'!$H52*'FE Sectorial'!O52/1000/1000</f>
        <v>0</v>
      </c>
      <c r="O53" s="87">
        <f>IF(D53&lt;400,H53+I53*'Factores generales'!$M$41+J53*'Factores generales'!$N$41,I53*'Factores generales'!$M$41+J53*'Factores generales'!$N$41)</f>
        <v>5582.8252630667394</v>
      </c>
    </row>
    <row r="54" spans="1:15" outlineLevel="1" x14ac:dyDescent="0.25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Actividad'!$J50*'FE Sectorial'!$H53*'FE Sectorial'!I53*'FE Sectorial'!P53/1000</f>
        <v>0</v>
      </c>
      <c r="I54" s="17">
        <f>'Datos Actividad'!$J50*'FE Sectorial'!$H53*'FE Sectorial'!J53/1000/1000</f>
        <v>0</v>
      </c>
      <c r="J54" s="17">
        <f>'Datos Actividad'!$J50*'FE Sectorial'!$H53*'FE Sectorial'!K53/1000/1000</f>
        <v>0</v>
      </c>
      <c r="K54" s="17">
        <f>'Datos Actividad'!$J50*'FE Sectorial'!$H53*'FE Sectorial'!L53/1000/1000</f>
        <v>0</v>
      </c>
      <c r="L54" s="17">
        <f>'Datos Actividad'!$J50*'FE Sectorial'!$H53*'FE Sectorial'!M53/1000/1000</f>
        <v>0</v>
      </c>
      <c r="M54" s="17">
        <f>'Datos Actividad'!$J50*'FE Sectorial'!$H53*'FE Sectorial'!N53/1000/1000</f>
        <v>0</v>
      </c>
      <c r="N54" s="17">
        <f>'Datos Actividad'!$J50*'FE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 x14ac:dyDescent="0.25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Actividad'!$J51*'FE Sectorial'!$H54*'FE Sectorial'!I54*'FE Sectorial'!P54/1000</f>
        <v>0</v>
      </c>
      <c r="I55" s="17">
        <f>'Datos Actividad'!$J51*'FE Sectorial'!$H54*'FE Sectorial'!J54/1000/1000</f>
        <v>0</v>
      </c>
      <c r="J55" s="17">
        <f>'Datos Actividad'!$J51*'FE Sectorial'!$H54*'FE Sectorial'!K54/1000/1000</f>
        <v>0</v>
      </c>
      <c r="K55" s="17">
        <f>'Datos Actividad'!$J51*'FE Sectorial'!$H54*'FE Sectorial'!L54/1000/1000</f>
        <v>0</v>
      </c>
      <c r="L55" s="17">
        <f>'Datos Actividad'!$J51*'FE Sectorial'!$H54*'FE Sectorial'!M54/1000/1000</f>
        <v>0</v>
      </c>
      <c r="M55" s="17">
        <f>'Datos Actividad'!$J51*'FE Sectorial'!$H54*'FE Sectorial'!N54/1000/1000</f>
        <v>0</v>
      </c>
      <c r="N55" s="17">
        <f>'Datos Actividad'!$J51*'FE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 x14ac:dyDescent="0.25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809268.83944948809</v>
      </c>
      <c r="I56" s="134">
        <f>SUM(I57:I62)</f>
        <v>748.96113045587697</v>
      </c>
      <c r="J56" s="134">
        <f t="shared" ref="J56:O56" si="14">SUM(J57:J62)</f>
        <v>99.803480287983604</v>
      </c>
      <c r="K56" s="134">
        <f t="shared" si="14"/>
        <v>4603.2938998395903</v>
      </c>
      <c r="L56" s="134">
        <f t="shared" si="14"/>
        <v>87154.294451103604</v>
      </c>
      <c r="M56" s="134">
        <f t="shared" si="14"/>
        <v>1288.6771560397949</v>
      </c>
      <c r="N56" s="134">
        <f t="shared" si="14"/>
        <v>1724.5594000000001</v>
      </c>
      <c r="O56" s="134">
        <f t="shared" si="14"/>
        <v>855936.10207833641</v>
      </c>
    </row>
    <row r="57" spans="1:15" outlineLevel="1" x14ac:dyDescent="0.25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Actividad'!$J53*'FE Sectorial'!$H56*'FE Sectorial'!I56*'FE Sectorial'!P56/1000</f>
        <v>676676.442728088</v>
      </c>
      <c r="I57" s="17">
        <f>'Datos Actividad'!$J53*'FE Sectorial'!$H56*'FE Sectorial'!J56/1000/1000</f>
        <v>12.122581584000001</v>
      </c>
      <c r="J57" s="17">
        <f>'Datos Actividad'!$J53*'FE Sectorial'!$H56*'FE Sectorial'!K56/1000/1000</f>
        <v>1.2122581584000003</v>
      </c>
      <c r="K57" s="17">
        <f>'Datos Actividad'!$J53*'FE Sectorial'!$H56*'FE Sectorial'!L56/1000/1000</f>
        <v>1818.3872376000002</v>
      </c>
      <c r="L57" s="17">
        <f>'Datos Actividad'!$J53*'FE Sectorial'!$H56*'FE Sectorial'!M56/1000/1000</f>
        <v>363.67744752000004</v>
      </c>
      <c r="M57" s="17">
        <f>'Datos Actividad'!$J53*'FE Sectorial'!$H56*'FE Sectorial'!N56/1000/1000</f>
        <v>60.612907920000005</v>
      </c>
      <c r="N57" s="17">
        <f>'Datos Actividad'!$J53*'FE Sectorial'!$H56*'FE Sectorial'!O56/1000/1000</f>
        <v>0</v>
      </c>
      <c r="O57" s="87">
        <f>IF(D57&lt;400,H57+I57*'Factores generales'!$M$41+J57*'Factores generales'!$N$41,I57*'Factores generales'!$M$41+J57*'Factores generales'!$N$41)</f>
        <v>677306.81697045604</v>
      </c>
    </row>
    <row r="58" spans="1:15" outlineLevel="1" x14ac:dyDescent="0.25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Actividad'!$J54*'FE Sectorial'!$H57*'FE Sectorial'!I57*'FE Sectorial'!P57/1000</f>
        <v>47.316554999999994</v>
      </c>
      <c r="I58" s="17">
        <f>'Datos Actividad'!$J54*'FE Sectorial'!$H57*'FE Sectorial'!J57/1000/1000</f>
        <v>1.9350000000000001E-3</v>
      </c>
      <c r="J58" s="17">
        <f>'Datos Actividad'!$J54*'FE Sectorial'!$H57*'FE Sectorial'!K57/1000/1000</f>
        <v>3.8700000000000003E-4</v>
      </c>
      <c r="K58" s="17">
        <f>'Datos Actividad'!$J54*'FE Sectorial'!$H57*'FE Sectorial'!L57/1000/1000</f>
        <v>0.129</v>
      </c>
      <c r="L58" s="17">
        <f>'Datos Actividad'!$J54*'FE Sectorial'!$H57*'FE Sectorial'!M57/1000/1000</f>
        <v>6.45E-3</v>
      </c>
      <c r="M58" s="17">
        <f>'Datos Actividad'!$J54*'FE Sectorial'!$H57*'FE Sectorial'!N57/1000/1000</f>
        <v>3.225E-3</v>
      </c>
      <c r="N58" s="17">
        <f>'Datos Actividad'!$J54*'FE Sectorial'!$H57*'FE Sectorial'!O57/1000/1000</f>
        <v>2.3399999999999997E-2</v>
      </c>
      <c r="O58" s="87">
        <f>IF(D58&lt;400,H58+I58*'Factores generales'!$M$41+J58*'Factores generales'!$N$41,I58*'Factores generales'!$M$41+J58*'Factores generales'!$N$41)</f>
        <v>47.477159999999998</v>
      </c>
    </row>
    <row r="59" spans="1:15" outlineLevel="1" x14ac:dyDescent="0.25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Actividad'!$J55*'FE Sectorial'!$H58*'FE Sectorial'!I58*'FE Sectorial'!P58/1000</f>
        <v>132545.0801664</v>
      </c>
      <c r="I59" s="17">
        <f>'Datos Actividad'!$J55*'FE Sectorial'!$H58*'FE Sectorial'!J58/1000/1000</f>
        <v>5.1892991999999998</v>
      </c>
      <c r="J59" s="17">
        <f>'Datos Actividad'!$J55*'FE Sectorial'!$H58*'FE Sectorial'!K58/1000/1000</f>
        <v>1.0378598399999999</v>
      </c>
      <c r="K59" s="17">
        <f>'Datos Actividad'!$J55*'FE Sectorial'!$H58*'FE Sectorial'!L58/1000/1000</f>
        <v>345.95328000000001</v>
      </c>
      <c r="L59" s="17">
        <f>'Datos Actividad'!$J55*'FE Sectorial'!$H58*'FE Sectorial'!M58/1000/1000</f>
        <v>17.297664000000001</v>
      </c>
      <c r="M59" s="17">
        <f>'Datos Actividad'!$J55*'FE Sectorial'!$H58*'FE Sectorial'!N58/1000/1000</f>
        <v>8.6488320000000005</v>
      </c>
      <c r="N59" s="17">
        <f>'Datos Actividad'!$J55*'FE Sectorial'!$H58*'FE Sectorial'!O58/1000/1000</f>
        <v>342.52800000000002</v>
      </c>
      <c r="O59" s="87">
        <f>IF(D59&lt;400,H59+I59*'Factores generales'!$M$41+J59*'Factores generales'!$N$41,I59*'Factores generales'!$M$41+J59*'Factores generales'!$N$41)</f>
        <v>132975.79200000002</v>
      </c>
    </row>
    <row r="60" spans="1:15" outlineLevel="1" x14ac:dyDescent="0.25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Actividad'!$J56*'FE Sectorial'!$H59*'FE Sectorial'!I59*'FE Sectorial'!P59/1000</f>
        <v>1002070.2601533597</v>
      </c>
      <c r="I60" s="17">
        <f>'Datos Actividad'!$J56*'FE Sectorial'!$H59*'FE Sectorial'!J59/1000/1000</f>
        <v>345.54146901839988</v>
      </c>
      <c r="J60" s="17">
        <f>'Datos Actividad'!$J56*'FE Sectorial'!$H59*'FE Sectorial'!K59/1000/1000</f>
        <v>46.07219586911998</v>
      </c>
      <c r="K60" s="17">
        <f>'Datos Actividad'!$J56*'FE Sectorial'!$H59*'FE Sectorial'!L59/1000/1000</f>
        <v>1151.8048967279997</v>
      </c>
      <c r="L60" s="17">
        <f>'Datos Actividad'!$J56*'FE Sectorial'!$H59*'FE Sectorial'!M59/1000/1000</f>
        <v>46072.195869119983</v>
      </c>
      <c r="M60" s="17">
        <f>'Datos Actividad'!$J56*'FE Sectorial'!$H59*'FE Sectorial'!N59/1000/1000</f>
        <v>575.90244836399984</v>
      </c>
      <c r="N60" s="17">
        <f>'Datos Actividad'!$J56*'FE Sectorial'!$H59*'FE Sectorial'!O59/1000/1000</f>
        <v>0</v>
      </c>
      <c r="O60" s="87">
        <f>IF(D60&lt;400,H60+I60*'Factores generales'!$M$41+J60*'Factores generales'!$N$41,I60*'Factores generales'!$M$41+J60*'Factores generales'!$N$41)</f>
        <v>21538.75156881359</v>
      </c>
    </row>
    <row r="61" spans="1:15" outlineLevel="1" x14ac:dyDescent="0.25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Actividad'!$J57*'FE Sectorial'!$H60*'FE Sectorial'!I60*'FE Sectorial'!P60/1000</f>
        <v>525185.15212799993</v>
      </c>
      <c r="I61" s="17">
        <f>'Datos Actividad'!$J57*'FE Sectorial'!$H60*'FE Sectorial'!J60/1000/1000</f>
        <v>161.69493599999998</v>
      </c>
      <c r="J61" s="17">
        <f>'Datos Actividad'!$J57*'FE Sectorial'!$H60*'FE Sectorial'!K60/1000/1000</f>
        <v>21.559324800000002</v>
      </c>
      <c r="K61" s="17">
        <f>'Datos Actividad'!$J57*'FE Sectorial'!$H60*'FE Sectorial'!L60/1000/1000</f>
        <v>538.98311999999999</v>
      </c>
      <c r="L61" s="17">
        <f>'Datos Actividad'!$J57*'FE Sectorial'!$H60*'FE Sectorial'!M60/1000/1000</f>
        <v>10779.662400000001</v>
      </c>
      <c r="M61" s="17">
        <f>'Datos Actividad'!$J57*'FE Sectorial'!$H60*'FE Sectorial'!N60/1000/1000</f>
        <v>269.49155999999999</v>
      </c>
      <c r="N61" s="17">
        <f>'Datos Actividad'!$J57*'FE Sectorial'!$H60*'FE Sectorial'!O60/1000/1000</f>
        <v>1382.008</v>
      </c>
      <c r="O61" s="87">
        <f>IF(D61&lt;400,H61+I61*'Factores generales'!$M$41+J61*'Factores generales'!$N$41,I61*'Factores generales'!$M$41+J61*'Factores generales'!$N$41)</f>
        <v>10078.984344</v>
      </c>
    </row>
    <row r="62" spans="1:15" outlineLevel="1" x14ac:dyDescent="0.25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Actividad'!$J58*'FE Sectorial'!$H61*'FE Sectorial'!I61*'FE Sectorial'!P61/1000</f>
        <v>650791.63799508358</v>
      </c>
      <c r="I62" s="17">
        <f>'Datos Actividad'!$J58*'FE Sectorial'!$H61*'FE Sectorial'!J61/1000/1000</f>
        <v>224.41090965347712</v>
      </c>
      <c r="J62" s="17">
        <f>'Datos Actividad'!$J58*'FE Sectorial'!$H61*'FE Sectorial'!K61/1000/1000</f>
        <v>29.921454620463614</v>
      </c>
      <c r="K62" s="17">
        <f>'Datos Actividad'!$J58*'FE Sectorial'!$H61*'FE Sectorial'!L61/1000/1000</f>
        <v>748.03636551159036</v>
      </c>
      <c r="L62" s="17">
        <f>'Datos Actividad'!$J58*'FE Sectorial'!$H61*'FE Sectorial'!M61/1000/1000</f>
        <v>29921.454620463614</v>
      </c>
      <c r="M62" s="17">
        <f>'Datos Actividad'!$J58*'FE Sectorial'!$H61*'FE Sectorial'!N61/1000/1000</f>
        <v>374.01818275579518</v>
      </c>
      <c r="N62" s="17">
        <f>'Datos Actividad'!$J58*'FE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13988.28003506674</v>
      </c>
    </row>
    <row r="63" spans="1:15" outlineLevel="1" x14ac:dyDescent="0.25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3207559.6602719999</v>
      </c>
      <c r="I63" s="134">
        <f>SUM(I64:I69)</f>
        <v>2151.8199990910762</v>
      </c>
      <c r="J63" s="134">
        <f t="shared" ref="J63:O63" si="15">SUM(J64:J69)</f>
        <v>285.13991473214344</v>
      </c>
      <c r="K63" s="134">
        <f t="shared" si="15"/>
        <v>15594.781200303587</v>
      </c>
      <c r="L63" s="134">
        <f t="shared" si="15"/>
        <v>280573.15893014352</v>
      </c>
      <c r="M63" s="134">
        <f t="shared" si="15"/>
        <v>3775.2077011517936</v>
      </c>
      <c r="N63" s="134">
        <f t="shared" si="15"/>
        <v>133.36988000000002</v>
      </c>
      <c r="O63" s="134">
        <f t="shared" si="15"/>
        <v>3341141.2538198768</v>
      </c>
    </row>
    <row r="64" spans="1:15" outlineLevel="1" x14ac:dyDescent="0.25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Actividad'!$J60*'FE Sectorial'!$H63*'FE Sectorial'!I63*'FE Sectorial'!P63/1000</f>
        <v>3162303.6627006</v>
      </c>
      <c r="I64" s="17">
        <f>'Datos Actividad'!$J60*'FE Sectorial'!$H63*'FE Sectorial'!J63/1000/1000</f>
        <v>56.652310800000002</v>
      </c>
      <c r="J64" s="17">
        <f>'Datos Actividad'!$J60*'FE Sectorial'!$H63*'FE Sectorial'!K63/1000/1000</f>
        <v>5.6652310800000008</v>
      </c>
      <c r="K64" s="17">
        <f>'Datos Actividad'!$J60*'FE Sectorial'!$H63*'FE Sectorial'!L63/1000/1000</f>
        <v>8497.8466199999984</v>
      </c>
      <c r="L64" s="17">
        <f>'Datos Actividad'!$J60*'FE Sectorial'!$H63*'FE Sectorial'!M63/1000/1000</f>
        <v>1699.5693240000001</v>
      </c>
      <c r="M64" s="17">
        <f>'Datos Actividad'!$J60*'FE Sectorial'!$H63*'FE Sectorial'!N63/1000/1000</f>
        <v>283.26155399999999</v>
      </c>
      <c r="N64" s="17">
        <f>'Datos Actividad'!$J60*'FE Sectorial'!$H63*'FE Sectorial'!O63/1000/1000</f>
        <v>0</v>
      </c>
      <c r="O64" s="87">
        <f>IF(D64&lt;400,H64+I64*'Factores generales'!$M$41+J64*'Factores generales'!$N$41,I64*'Factores generales'!$M$41+J64*'Factores generales'!$N$41)</f>
        <v>3165249.5828622002</v>
      </c>
    </row>
    <row r="65" spans="1:15" outlineLevel="1" x14ac:dyDescent="0.25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Actividad'!$J61*'FE Sectorial'!$H64*'FE Sectorial'!I64*'FE Sectorial'!P64/1000</f>
        <v>7485.4790009999988</v>
      </c>
      <c r="I65" s="17">
        <f>'Datos Actividad'!$J61*'FE Sectorial'!$H64*'FE Sectorial'!J64/1000/1000</f>
        <v>0.30611700000000003</v>
      </c>
      <c r="J65" s="17">
        <f>'Datos Actividad'!$J61*'FE Sectorial'!$H64*'FE Sectorial'!K64/1000/1000</f>
        <v>6.122339999999999E-2</v>
      </c>
      <c r="K65" s="17">
        <f>'Datos Actividad'!$J61*'FE Sectorial'!$H64*'FE Sectorial'!L64/1000/1000</f>
        <v>20.407799999999998</v>
      </c>
      <c r="L65" s="17">
        <f>'Datos Actividad'!$J61*'FE Sectorial'!$H64*'FE Sectorial'!M64/1000/1000</f>
        <v>1.0203899999999999</v>
      </c>
      <c r="M65" s="17">
        <f>'Datos Actividad'!$J61*'FE Sectorial'!$H64*'FE Sectorial'!N64/1000/1000</f>
        <v>0.51019499999999995</v>
      </c>
      <c r="N65" s="17">
        <f>'Datos Actividad'!$J61*'FE Sectorial'!$H64*'FE Sectorial'!O64/1000/1000</f>
        <v>3.7018800000000001</v>
      </c>
      <c r="O65" s="87">
        <f>IF(D65&lt;400,H65+I65*'Factores generales'!$M$41+J65*'Factores generales'!$N$41,I65*'Factores generales'!$M$41+J65*'Factores generales'!$N$41)</f>
        <v>7510.8867119999986</v>
      </c>
    </row>
    <row r="66" spans="1:15" outlineLevel="1" x14ac:dyDescent="0.25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Actividad'!$J62*'FE Sectorial'!$H65*'FE Sectorial'!I65*'FE Sectorial'!P65/1000</f>
        <v>37770.518570400003</v>
      </c>
      <c r="I66" s="17">
        <f>'Datos Actividad'!$J62*'FE Sectorial'!$H65*'FE Sectorial'!J65/1000/1000</f>
        <v>1.4787611999999999</v>
      </c>
      <c r="J66" s="17">
        <f>'Datos Actividad'!$J62*'FE Sectorial'!$H65*'FE Sectorial'!K65/1000/1000</f>
        <v>0.29575224</v>
      </c>
      <c r="K66" s="17">
        <f>'Datos Actividad'!$J62*'FE Sectorial'!$H65*'FE Sectorial'!L65/1000/1000</f>
        <v>98.58408</v>
      </c>
      <c r="L66" s="17">
        <f>'Datos Actividad'!$J62*'FE Sectorial'!$H65*'FE Sectorial'!M65/1000/1000</f>
        <v>4.9292039999999995</v>
      </c>
      <c r="M66" s="17">
        <f>'Datos Actividad'!$J62*'FE Sectorial'!$H65*'FE Sectorial'!N65/1000/1000</f>
        <v>2.4646019999999997</v>
      </c>
      <c r="N66" s="17">
        <f>'Datos Actividad'!$J62*'FE Sectorial'!$H65*'FE Sectorial'!O65/1000/1000</f>
        <v>97.608000000000004</v>
      </c>
      <c r="O66" s="87">
        <f>IF(D66&lt;400,H66+I66*'Factores generales'!$M$41+J66*'Factores generales'!$N$41,I66*'Factores generales'!$M$41+J66*'Factores generales'!$N$41)</f>
        <v>37893.255750000004</v>
      </c>
    </row>
    <row r="67" spans="1:15" outlineLevel="1" x14ac:dyDescent="0.25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Actividad'!$J63*'FE Sectorial'!$H66*'FE Sectorial'!I66*'FE Sectorial'!P66/1000</f>
        <v>5678398.1408690382</v>
      </c>
      <c r="I67" s="17">
        <f>'Datos Actividad'!$J63*'FE Sectorial'!$H66*'FE Sectorial'!J66/1000/1000</f>
        <v>1958.0683244375991</v>
      </c>
      <c r="J67" s="17">
        <f>'Datos Actividad'!$J63*'FE Sectorial'!$H66*'FE Sectorial'!K66/1000/1000</f>
        <v>261.07577659167987</v>
      </c>
      <c r="K67" s="17">
        <f>'Datos Actividad'!$J63*'FE Sectorial'!$H66*'FE Sectorial'!L66/1000/1000</f>
        <v>6526.8944147919974</v>
      </c>
      <c r="L67" s="17">
        <f>'Datos Actividad'!$J63*'FE Sectorial'!$H66*'FE Sectorial'!M66/1000/1000</f>
        <v>261075.7765916799</v>
      </c>
      <c r="M67" s="17">
        <f>'Datos Actividad'!$J63*'FE Sectorial'!$H66*'FE Sectorial'!N66/1000/1000</f>
        <v>3263.4472073959987</v>
      </c>
      <c r="N67" s="17">
        <f>'Datos Actividad'!$J63*'FE Sectorial'!$H66*'FE Sectorial'!O66/1000/1000</f>
        <v>0</v>
      </c>
      <c r="O67" s="87">
        <f>IF(D67&lt;400,H67+I67*'Factores generales'!$M$41+J67*'Factores generales'!$N$41,I67*'Factores generales'!$M$41+J67*'Factores generales'!$N$41)</f>
        <v>122052.92555661034</v>
      </c>
    </row>
    <row r="68" spans="1:15" outlineLevel="1" x14ac:dyDescent="0.25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Actividad'!$J64*'FE Sectorial'!$H67*'FE Sectorial'!I67*'FE Sectorial'!P67/1000</f>
        <v>12183.312959999999</v>
      </c>
      <c r="I68" s="17">
        <f>'Datos Actividad'!$J64*'FE Sectorial'!$H67*'FE Sectorial'!J67/1000/1000</f>
        <v>3.75102</v>
      </c>
      <c r="J68" s="17">
        <f>'Datos Actividad'!$J64*'FE Sectorial'!$H67*'FE Sectorial'!K67/1000/1000</f>
        <v>0.50013600000000002</v>
      </c>
      <c r="K68" s="17">
        <f>'Datos Actividad'!$J64*'FE Sectorial'!$H67*'FE Sectorial'!L67/1000/1000</f>
        <v>12.503399999999999</v>
      </c>
      <c r="L68" s="17">
        <f>'Datos Actividad'!$J64*'FE Sectorial'!$H67*'FE Sectorial'!M67/1000/1000</f>
        <v>250.06800000000001</v>
      </c>
      <c r="M68" s="17">
        <f>'Datos Actividad'!$J64*'FE Sectorial'!$H67*'FE Sectorial'!N67/1000/1000</f>
        <v>6.2516999999999996</v>
      </c>
      <c r="N68" s="17">
        <f>'Datos Actividad'!$J64*'FE Sectorial'!$H67*'FE Sectorial'!O67/1000/1000</f>
        <v>32.06</v>
      </c>
      <c r="O68" s="87">
        <f>IF(D68&lt;400,H68+I68*'Factores generales'!$M$41+J68*'Factores generales'!$N$41,I68*'Factores generales'!$M$41+J68*'Factores generales'!$N$41)</f>
        <v>233.81358</v>
      </c>
    </row>
    <row r="69" spans="1:15" outlineLevel="1" x14ac:dyDescent="0.25">
      <c r="D69" s="82">
        <v>406</v>
      </c>
      <c r="E69" s="11" t="s">
        <v>98</v>
      </c>
      <c r="F69" s="11" t="s">
        <v>256</v>
      </c>
      <c r="H69" s="119">
        <f>'Datos Actividad'!$J65*'FE Sectorial'!$H68*'FE Sectorial'!I68*'FE Sectorial'!P68/1000</f>
        <v>381534.05039508361</v>
      </c>
      <c r="I69" s="17">
        <f>'Datos Actividad'!$J65*'FE Sectorial'!$H68*'FE Sectorial'!J68/1000/1000</f>
        <v>131.5634656534771</v>
      </c>
      <c r="J69" s="17">
        <f>'Datos Actividad'!$J65*'FE Sectorial'!$H68*'FE Sectorial'!K68/1000/1000</f>
        <v>17.541795420463615</v>
      </c>
      <c r="K69" s="17">
        <f>'Datos Actividad'!$J65*'FE Sectorial'!$H68*'FE Sectorial'!L68/1000/1000</f>
        <v>438.54488551159034</v>
      </c>
      <c r="L69" s="17">
        <f>'Datos Actividad'!$J65*'FE Sectorial'!$H68*'FE Sectorial'!M68/1000/1000</f>
        <v>17541.795420463615</v>
      </c>
      <c r="M69" s="17">
        <f>'Datos Actividad'!$J65*'FE Sectorial'!$H68*'FE Sectorial'!N68/1000/1000</f>
        <v>219.27244275579517</v>
      </c>
      <c r="N69" s="17">
        <f>'Datos Actividad'!$J65*'FE Sectorial'!$H68*'FE Sectorial'!O68/1000/1000</f>
        <v>0</v>
      </c>
      <c r="O69" s="87">
        <f>IF(D69&lt;400,H69+I69*'Factores generales'!$M$41+J69*'Factores generales'!$N$41,I69*'Factores generales'!$M$41+J69*'Factores generales'!$N$41)</f>
        <v>8200.7893590667409</v>
      </c>
    </row>
    <row r="70" spans="1:15" outlineLevel="1" x14ac:dyDescent="0.25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11346347.824258074</v>
      </c>
      <c r="I70" s="134">
        <f t="shared" si="16"/>
        <v>579.16783184044004</v>
      </c>
      <c r="J70" s="134">
        <f t="shared" si="16"/>
        <v>79.74865837827538</v>
      </c>
      <c r="K70" s="134">
        <f t="shared" si="16"/>
        <v>31177.729220401641</v>
      </c>
      <c r="L70" s="134">
        <f t="shared" si="16"/>
        <v>32239.4569987799</v>
      </c>
      <c r="M70" s="134">
        <f t="shared" si="16"/>
        <v>1547.2724405713525</v>
      </c>
      <c r="N70" s="134">
        <f t="shared" si="16"/>
        <v>5581.0873333967065</v>
      </c>
      <c r="O70" s="134">
        <f t="shared" si="16"/>
        <v>11383232.432823988</v>
      </c>
    </row>
    <row r="71" spans="1:15" outlineLevel="1" x14ac:dyDescent="0.25">
      <c r="B71" s="1" t="s">
        <v>36</v>
      </c>
      <c r="G71" s="1"/>
      <c r="H71" s="15">
        <f>H72+H73+H74+H76</f>
        <v>3242178.8161313124</v>
      </c>
      <c r="I71" s="15">
        <f>SUM(I72:I76)</f>
        <v>166.61925050072313</v>
      </c>
      <c r="J71" s="15">
        <f t="shared" ref="J71:O71" si="17">SUM(J72:J76)</f>
        <v>23.088775314145536</v>
      </c>
      <c r="K71" s="15">
        <f t="shared" si="17"/>
        <v>9163.8966037125865</v>
      </c>
      <c r="L71" s="15">
        <f t="shared" si="17"/>
        <v>9260.7545918180331</v>
      </c>
      <c r="M71" s="15">
        <f t="shared" si="17"/>
        <v>495.99882188576663</v>
      </c>
      <c r="N71" s="15">
        <f t="shared" si="17"/>
        <v>940.3753147826086</v>
      </c>
      <c r="O71" s="15">
        <f t="shared" si="17"/>
        <v>3252835.3407392129</v>
      </c>
    </row>
    <row r="72" spans="1:15" outlineLevel="1" x14ac:dyDescent="0.25">
      <c r="D72" s="82">
        <v>301</v>
      </c>
      <c r="E72" s="11" t="s">
        <v>98</v>
      </c>
      <c r="F72" s="11" t="s">
        <v>106</v>
      </c>
      <c r="H72" s="17">
        <f>'Datos Actividad'!$J68*'FE Sectorial'!$H71*'FE Sectorial'!I71*'FE Sectorial'!P71/1000</f>
        <v>3051704.6675105756</v>
      </c>
      <c r="I72" s="17">
        <f>'Datos Actividad'!$J68*'FE Sectorial'!$H71*'FE Sectorial'!J71/1000/1000</f>
        <v>54.670942368000006</v>
      </c>
      <c r="J72" s="17">
        <f>'Datos Actividad'!$J68*'FE Sectorial'!$H71*'FE Sectorial'!K71/1000/1000</f>
        <v>5.4670942367999995</v>
      </c>
      <c r="K72" s="17">
        <f>'Datos Actividad'!$J68*'FE Sectorial'!$H71*'FE Sectorial'!L71/1000/1000</f>
        <v>8200.6413551999995</v>
      </c>
      <c r="L72" s="17">
        <f>'Datos Actividad'!$J68*'FE Sectorial'!$H71*'FE Sectorial'!M71/1000/1000</f>
        <v>1640.1282710400001</v>
      </c>
      <c r="M72" s="17">
        <f>'Datos Actividad'!$J68*'FE Sectorial'!$H71*'FE Sectorial'!N71/1000/1000</f>
        <v>273.35471184000005</v>
      </c>
      <c r="N72" s="17">
        <f>'Datos Actividad'!$J68*'FE Sectorial'!$H71*'FE Sectorial'!O71/1000/1000</f>
        <v>0</v>
      </c>
      <c r="O72" s="87">
        <f>IF(D72&lt;400,H72+I72*'Factores generales'!$M$41+J72*'Factores generales'!$N$41,I72*'Factores generales'!$M$41+J72*'Factores generales'!$N$41)</f>
        <v>3054547.5565137118</v>
      </c>
    </row>
    <row r="73" spans="1:15" outlineLevel="1" x14ac:dyDescent="0.25">
      <c r="D73" s="82">
        <v>206</v>
      </c>
      <c r="E73" s="11" t="s">
        <v>98</v>
      </c>
      <c r="F73" s="11" t="s">
        <v>249</v>
      </c>
      <c r="H73" s="17">
        <f>'Datos Actividad'!$J69*'FE Sectorial'!$H72*'FE Sectorial'!I72*'FE Sectorial'!P72/1000</f>
        <v>2517.240726</v>
      </c>
      <c r="I73" s="17">
        <f>'Datos Actividad'!$J69*'FE Sectorial'!$H72*'FE Sectorial'!J72/1000/1000</f>
        <v>0.10294199999999999</v>
      </c>
      <c r="J73" s="17">
        <f>'Datos Actividad'!$J69*'FE Sectorial'!$H72*'FE Sectorial'!K72/1000/1000</f>
        <v>2.0588399999999996E-2</v>
      </c>
      <c r="K73" s="17">
        <f>'Datos Actividad'!$J69*'FE Sectorial'!$H72*'FE Sectorial'!L72/1000/1000</f>
        <v>6.8628</v>
      </c>
      <c r="L73" s="17">
        <f>'Datos Actividad'!$J69*'FE Sectorial'!$H72*'FE Sectorial'!M72/1000/1000</f>
        <v>0.34314</v>
      </c>
      <c r="M73" s="17">
        <f>'Datos Actividad'!$J69*'FE Sectorial'!$H72*'FE Sectorial'!N72/1000/1000</f>
        <v>0.17157</v>
      </c>
      <c r="N73" s="17">
        <f>'Datos Actividad'!$J69*'FE Sectorial'!$H72*'FE Sectorial'!O72/1000/1000</f>
        <v>1.2448800000000002</v>
      </c>
      <c r="O73" s="87">
        <f>IF(D73&lt;400,H73+I73*'Factores generales'!$M$41+J73*'Factores generales'!$N$41,I73*'Factores generales'!$M$41+J73*'Factores generales'!$N$41)</f>
        <v>2525.7849120000001</v>
      </c>
    </row>
    <row r="74" spans="1:15" outlineLevel="1" x14ac:dyDescent="0.25">
      <c r="D74" s="82">
        <v>106</v>
      </c>
      <c r="E74" s="11" t="s">
        <v>98</v>
      </c>
      <c r="F74" s="11" t="s">
        <v>253</v>
      </c>
      <c r="H74" s="17">
        <f>'Datos Actividad'!$J70*'FE Sectorial'!$H73*'FE Sectorial'!I73*'FE Sectorial'!P73/1000</f>
        <v>187956.90789473685</v>
      </c>
      <c r="I74" s="17">
        <f>'Datos Actividad'!$J70*'FE Sectorial'!$H73*'FE Sectorial'!J73/1000/1000</f>
        <v>1.9671052631578947</v>
      </c>
      <c r="J74" s="17">
        <f>'Datos Actividad'!$J70*'FE Sectorial'!$H73*'FE Sectorial'!K73/1000/1000</f>
        <v>2.9506578947368425</v>
      </c>
      <c r="K74" s="17">
        <f>'Datos Actividad'!$J70*'FE Sectorial'!$H73*'FE Sectorial'!L73/1000/1000</f>
        <v>590.13157894736855</v>
      </c>
      <c r="L74" s="17">
        <f>'Datos Actividad'!$J70*'FE Sectorial'!$H73*'FE Sectorial'!M73/1000/1000</f>
        <v>295.06578947368428</v>
      </c>
      <c r="M74" s="17">
        <f>'Datos Actividad'!$J70*'FE Sectorial'!$H73*'FE Sectorial'!N73/1000/1000</f>
        <v>39.34210526315789</v>
      </c>
      <c r="N74" s="17">
        <f>'Datos Actividad'!$J70*'FE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188912.9210526316</v>
      </c>
    </row>
    <row r="75" spans="1:15" outlineLevel="1" x14ac:dyDescent="0.25">
      <c r="D75" s="82">
        <v>401</v>
      </c>
      <c r="E75" s="11" t="s">
        <v>98</v>
      </c>
      <c r="F75" s="11" t="s">
        <v>258</v>
      </c>
      <c r="H75" s="119">
        <f>'Datos Actividad'!$J71*'FE Sectorial'!$H74*'FE Sectorial'!I74*'FE Sectorial'!P74/1000</f>
        <v>356884.59130434779</v>
      </c>
      <c r="I75" s="17">
        <f>'Datos Actividad'!$J71*'FE Sectorial'!$H74*'FE Sectorial'!J74/1000/1000</f>
        <v>109.87826086956521</v>
      </c>
      <c r="J75" s="17">
        <f>'Datos Actividad'!$J71*'FE Sectorial'!$H74*'FE Sectorial'!K74/1000/1000</f>
        <v>14.650434782608697</v>
      </c>
      <c r="K75" s="17">
        <f>'Datos Actividad'!$J71*'FE Sectorial'!$H74*'FE Sectorial'!L74/1000/1000</f>
        <v>366.26086956521738</v>
      </c>
      <c r="L75" s="17">
        <f>'Datos Actividad'!$J71*'FE Sectorial'!$H74*'FE Sectorial'!M74/1000/1000</f>
        <v>7325.217391304348</v>
      </c>
      <c r="M75" s="17">
        <f>'Datos Actividad'!$J71*'FE Sectorial'!$H74*'FE Sectorial'!N74/1000/1000</f>
        <v>183.13043478260869</v>
      </c>
      <c r="N75" s="17">
        <f>'Datos Actividad'!$J71*'FE Sectorial'!$H74*'FE Sectorial'!O74/1000/1000</f>
        <v>939.13043478260863</v>
      </c>
      <c r="O75" s="87">
        <f>IF(D75&lt;400,H75+I75*'Factores generales'!$M$41+J75*'Factores generales'!$N$41,I75*'Factores generales'!$M$41+J75*'Factores generales'!$N$41)</f>
        <v>6849.0782608695654</v>
      </c>
    </row>
    <row r="76" spans="1:15" outlineLevel="1" x14ac:dyDescent="0.25">
      <c r="D76" s="82">
        <v>103</v>
      </c>
      <c r="E76" s="11" t="s">
        <v>98</v>
      </c>
      <c r="F76" s="11" t="s">
        <v>9</v>
      </c>
      <c r="H76" s="17">
        <f>'Datos Actividad'!$J72*'FE Sectorial'!$H75*'FE Sectorial'!I75*'FE Sectorial'!P75/1000</f>
        <v>0</v>
      </c>
      <c r="I76" s="17">
        <f>'Datos Actividad'!$J72*'FE Sectorial'!$H75*'FE Sectorial'!J75/1000/1000</f>
        <v>0</v>
      </c>
      <c r="J76" s="17">
        <f>'Datos Actividad'!$J72*'FE Sectorial'!$H75*'FE Sectorial'!K75/1000/1000</f>
        <v>0</v>
      </c>
      <c r="K76" s="17">
        <f>'Datos Actividad'!$J72*'FE Sectorial'!$H75*'FE Sectorial'!L75/1000/1000</f>
        <v>0</v>
      </c>
      <c r="L76" s="17">
        <f>'Datos Actividad'!$J72*'FE Sectorial'!$H75*'FE Sectorial'!M75/1000/1000</f>
        <v>0</v>
      </c>
      <c r="M76" s="17">
        <f>'Datos Actividad'!$J72*'FE Sectorial'!$H75*'FE Sectorial'!N75/1000/1000</f>
        <v>0</v>
      </c>
      <c r="N76" s="17">
        <f>'Datos Actividad'!$J72*'FE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 x14ac:dyDescent="0.25">
      <c r="B77" s="1" t="s">
        <v>35</v>
      </c>
      <c r="G77" s="1"/>
      <c r="H77" s="15">
        <f t="shared" ref="H77:O77" si="18">H78+H79</f>
        <v>131107.71600036</v>
      </c>
      <c r="I77" s="15">
        <f t="shared" si="18"/>
        <v>2.3605954800000002</v>
      </c>
      <c r="J77" s="15">
        <f t="shared" si="18"/>
        <v>0.23816224799999999</v>
      </c>
      <c r="K77" s="15">
        <f t="shared" si="18"/>
        <v>352.33707199999998</v>
      </c>
      <c r="L77" s="15">
        <f t="shared" si="18"/>
        <v>70.257144400000001</v>
      </c>
      <c r="M77" s="15">
        <f t="shared" si="18"/>
        <v>11.732887399999999</v>
      </c>
      <c r="N77" s="15">
        <f t="shared" si="18"/>
        <v>0.25428000000000001</v>
      </c>
      <c r="O77" s="15">
        <f t="shared" si="18"/>
        <v>131231.11880232001</v>
      </c>
    </row>
    <row r="78" spans="1:15" outlineLevel="1" x14ac:dyDescent="0.25">
      <c r="D78" s="82">
        <v>301</v>
      </c>
      <c r="E78" s="11" t="s">
        <v>98</v>
      </c>
      <c r="F78" s="11" t="s">
        <v>106</v>
      </c>
      <c r="H78" s="17">
        <f>'Datos Actividad'!$J74*'FE Sectorial'!$H77*'FE Sectorial'!I77*'FE Sectorial'!P77/1000</f>
        <v>130593.54276936001</v>
      </c>
      <c r="I78" s="17">
        <f>'Datos Actividad'!$J74*'FE Sectorial'!$H77*'FE Sectorial'!J77/1000/1000</f>
        <v>2.3395684800000001</v>
      </c>
      <c r="J78" s="17">
        <f>'Datos Actividad'!$J74*'FE Sectorial'!$H77*'FE Sectorial'!K77/1000/1000</f>
        <v>0.233956848</v>
      </c>
      <c r="K78" s="17">
        <f>'Datos Actividad'!$J74*'FE Sectorial'!$H77*'FE Sectorial'!L77/1000/1000</f>
        <v>350.935272</v>
      </c>
      <c r="L78" s="17">
        <f>'Datos Actividad'!$J74*'FE Sectorial'!$H77*'FE Sectorial'!M77/1000/1000</f>
        <v>70.187054400000008</v>
      </c>
      <c r="M78" s="17">
        <f>'Datos Actividad'!$J74*'FE Sectorial'!$H77*'FE Sectorial'!N77/1000/1000</f>
        <v>11.697842399999999</v>
      </c>
      <c r="N78" s="17">
        <f>'Datos Actividad'!$J74*'FE Sectorial'!$H77*'FE Sectorial'!O77/1000/1000</f>
        <v>0</v>
      </c>
      <c r="O78" s="87">
        <f>IF(D78&lt;400,H78+I78*'Factores generales'!$M$41+J78*'Factores generales'!$N$41,I78*'Factores generales'!$M$41+J78*'Factores generales'!$N$41)</f>
        <v>130715.20033032</v>
      </c>
    </row>
    <row r="79" spans="1:15" outlineLevel="1" x14ac:dyDescent="0.25">
      <c r="D79" s="82">
        <v>206</v>
      </c>
      <c r="E79" s="11" t="s">
        <v>98</v>
      </c>
      <c r="F79" s="11" t="s">
        <v>249</v>
      </c>
      <c r="H79" s="17">
        <f>'Datos Actividad'!$J75*'FE Sectorial'!$H78*'FE Sectorial'!I78*'FE Sectorial'!P78/1000</f>
        <v>514.17323099999999</v>
      </c>
      <c r="I79" s="17">
        <f>'Datos Actividad'!$J75*'FE Sectorial'!$H78*'FE Sectorial'!J78/1000/1000</f>
        <v>2.1027000000000001E-2</v>
      </c>
      <c r="J79" s="17">
        <f>'Datos Actividad'!$J75*'FE Sectorial'!$H78*'FE Sectorial'!K78/1000/1000</f>
        <v>4.2053999999999998E-3</v>
      </c>
      <c r="K79" s="17">
        <f>'Datos Actividad'!$J75*'FE Sectorial'!$H78*'FE Sectorial'!L78/1000/1000</f>
        <v>1.4017999999999999</v>
      </c>
      <c r="L79" s="17">
        <f>'Datos Actividad'!$J75*'FE Sectorial'!$H78*'FE Sectorial'!M78/1000/1000</f>
        <v>7.009E-2</v>
      </c>
      <c r="M79" s="17">
        <f>'Datos Actividad'!$J75*'FE Sectorial'!$H78*'FE Sectorial'!N78/1000/1000</f>
        <v>3.5045E-2</v>
      </c>
      <c r="N79" s="17">
        <f>'Datos Actividad'!$J75*'FE Sectorial'!$H78*'FE Sectorial'!O78/1000/1000</f>
        <v>0.25428000000000001</v>
      </c>
      <c r="O79" s="87">
        <f>IF(D79&lt;400,H79+I79*'Factores generales'!$M$41+J79*'Factores generales'!$N$41,I79*'Factores generales'!$M$41+J79*'Factores generales'!$N$41)</f>
        <v>515.91847199999995</v>
      </c>
    </row>
    <row r="80" spans="1:15" outlineLevel="1" x14ac:dyDescent="0.25">
      <c r="B80" s="1" t="s">
        <v>37</v>
      </c>
      <c r="G80" s="1"/>
      <c r="H80" s="15">
        <f>SUM(H81:H83)</f>
        <v>57375.093417840006</v>
      </c>
      <c r="I80" s="15">
        <f>SUM(I81:I85)</f>
        <v>225.11468877347707</v>
      </c>
      <c r="J80" s="15">
        <f t="shared" ref="J80:O80" si="19">SUM(J81:J85)</f>
        <v>29.981176332463612</v>
      </c>
      <c r="K80" s="15">
        <f t="shared" si="19"/>
        <v>901.13465351159027</v>
      </c>
      <c r="L80" s="15">
        <f t="shared" si="19"/>
        <v>19432.808154063612</v>
      </c>
      <c r="M80" s="15">
        <f t="shared" si="19"/>
        <v>378.61473835579517</v>
      </c>
      <c r="N80" s="15">
        <f t="shared" si="19"/>
        <v>1343.1138400000002</v>
      </c>
      <c r="O80" s="15">
        <f t="shared" si="19"/>
        <v>71396.666545146756</v>
      </c>
    </row>
    <row r="81" spans="2:15" outlineLevel="1" x14ac:dyDescent="0.25">
      <c r="D81" s="82">
        <v>301</v>
      </c>
      <c r="E81" s="11" t="s">
        <v>98</v>
      </c>
      <c r="F81" s="11" t="s">
        <v>106</v>
      </c>
      <c r="H81" s="17">
        <f>'Datos Actividad'!$J77*'FE Sectorial'!$H80*'FE Sectorial'!I80*'FE Sectorial'!P80/1000</f>
        <v>57330.931299840006</v>
      </c>
      <c r="I81" s="17">
        <f>'Datos Actividad'!$J77*'FE Sectorial'!$H80*'FE Sectorial'!J80/1000/1000</f>
        <v>1.02707712</v>
      </c>
      <c r="J81" s="17">
        <f>'Datos Actividad'!$J77*'FE Sectorial'!$H80*'FE Sectorial'!K80/1000/1000</f>
        <v>0.10270771200000001</v>
      </c>
      <c r="K81" s="17">
        <f>'Datos Actividad'!$J77*'FE Sectorial'!$H80*'FE Sectorial'!L80/1000/1000</f>
        <v>154.06156799999999</v>
      </c>
      <c r="L81" s="17">
        <f>'Datos Actividad'!$J77*'FE Sectorial'!$H80*'FE Sectorial'!M80/1000/1000</f>
        <v>30.812313600000003</v>
      </c>
      <c r="M81" s="17">
        <f>'Datos Actividad'!$J77*'FE Sectorial'!$H80*'FE Sectorial'!N80/1000/1000</f>
        <v>5.1353855999999993</v>
      </c>
      <c r="N81" s="17">
        <f>'Datos Actividad'!$J77*'FE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57384.339310080009</v>
      </c>
    </row>
    <row r="82" spans="2:15" outlineLevel="1" x14ac:dyDescent="0.25">
      <c r="D82" s="82">
        <v>206</v>
      </c>
      <c r="E82" s="11" t="s">
        <v>98</v>
      </c>
      <c r="F82" s="11" t="s">
        <v>249</v>
      </c>
      <c r="H82" s="17">
        <f>'Datos Actividad'!$J78*'FE Sectorial'!$H81*'FE Sectorial'!I81*'FE Sectorial'!P81/1000</f>
        <v>44.162117999999992</v>
      </c>
      <c r="I82" s="17">
        <f>'Datos Actividad'!$J78*'FE Sectorial'!$H81*'FE Sectorial'!J81/1000/1000</f>
        <v>1.8060000000000001E-3</v>
      </c>
      <c r="J82" s="17">
        <f>'Datos Actividad'!$J78*'FE Sectorial'!$H81*'FE Sectorial'!K81/1000/1000</f>
        <v>3.6119999999999994E-4</v>
      </c>
      <c r="K82" s="17">
        <f>'Datos Actividad'!$J78*'FE Sectorial'!$H81*'FE Sectorial'!L81/1000/1000</f>
        <v>0.12040000000000001</v>
      </c>
      <c r="L82" s="17">
        <f>'Datos Actividad'!$J78*'FE Sectorial'!$H81*'FE Sectorial'!M81/1000/1000</f>
        <v>6.0199999999999993E-3</v>
      </c>
      <c r="M82" s="17">
        <f>'Datos Actividad'!$J78*'FE Sectorial'!$H81*'FE Sectorial'!N81/1000/1000</f>
        <v>3.0099999999999997E-3</v>
      </c>
      <c r="N82" s="17">
        <f>'Datos Actividad'!$J78*'FE Sectorial'!$H81*'FE Sectorial'!O81/1000/1000</f>
        <v>2.1839999999999998E-2</v>
      </c>
      <c r="O82" s="87">
        <f>IF(D82&lt;400,H82+I82*'Factores generales'!$M$41+J82*'Factores generales'!$N$41,I82*'Factores generales'!$M$41+J82*'Factores generales'!$N$41)</f>
        <v>44.312015999999993</v>
      </c>
    </row>
    <row r="83" spans="2:15" outlineLevel="1" x14ac:dyDescent="0.25">
      <c r="D83" s="82">
        <v>207</v>
      </c>
      <c r="E83" s="11" t="s">
        <v>98</v>
      </c>
      <c r="F83" s="11" t="s">
        <v>12</v>
      </c>
      <c r="H83" s="17">
        <f>'Datos Actividad'!$J79*'FE Sectorial'!$H82*'FE Sectorial'!I82*'FE Sectorial'!P82/1000</f>
        <v>0</v>
      </c>
      <c r="I83" s="95">
        <f>'Datos Actividad'!$J79*'FE Sectorial'!$H82*'FE Sectorial'!J82/1000/1000</f>
        <v>0</v>
      </c>
      <c r="J83" s="17">
        <f>'Datos Actividad'!$J79*'FE Sectorial'!$H82*'FE Sectorial'!K82/1000/1000</f>
        <v>0</v>
      </c>
      <c r="K83" s="17">
        <f>'Datos Actividad'!$J79*'FE Sectorial'!$H82*'FE Sectorial'!L82/1000/1000</f>
        <v>0</v>
      </c>
      <c r="L83" s="17">
        <f>'Datos Actividad'!$J79*'FE Sectorial'!$H82*'FE Sectorial'!M82/1000/1000</f>
        <v>0</v>
      </c>
      <c r="M83" s="17">
        <f>'Datos Actividad'!$J79*'FE Sectorial'!$H82*'FE Sectorial'!N82/1000/1000</f>
        <v>0</v>
      </c>
      <c r="N83" s="17">
        <f>'Datos Actividad'!$J79*'FE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 x14ac:dyDescent="0.25">
      <c r="D84" s="82">
        <v>401</v>
      </c>
      <c r="E84" s="11" t="s">
        <v>98</v>
      </c>
      <c r="F84" s="11" t="s">
        <v>258</v>
      </c>
      <c r="H84" s="119">
        <f>'Datos Actividad'!$J80*'FE Sectorial'!$H83*'FE Sectorial'!I83*'FE Sectorial'!P83/1000</f>
        <v>510396.44947200001</v>
      </c>
      <c r="I84" s="95">
        <f>'Datos Actividad'!$J80*'FE Sectorial'!$H83*'FE Sectorial'!J83/1000/1000</f>
        <v>157.14176399999999</v>
      </c>
      <c r="J84" s="17">
        <f>'Datos Actividad'!$J80*'FE Sectorial'!$H83*'FE Sectorial'!K83/1000/1000</f>
        <v>20.952235200000001</v>
      </c>
      <c r="K84" s="17">
        <f>'Datos Actividad'!$J80*'FE Sectorial'!$H83*'FE Sectorial'!L83/1000/1000</f>
        <v>523.80588</v>
      </c>
      <c r="L84" s="17">
        <f>'Datos Actividad'!$J80*'FE Sectorial'!$H83*'FE Sectorial'!M83/1000/1000</f>
        <v>10476.1176</v>
      </c>
      <c r="M84" s="17">
        <f>'Datos Actividad'!$J80*'FE Sectorial'!$H83*'FE Sectorial'!N83/1000/1000</f>
        <v>261.90294</v>
      </c>
      <c r="N84" s="17">
        <f>'Datos Actividad'!$J80*'FE Sectorial'!$H83*'FE Sectorial'!O83/1000/1000</f>
        <v>1343.0920000000001</v>
      </c>
      <c r="O84" s="87">
        <f>IF(D84&lt;400,H84+I84*'Factores generales'!$M$41+J84*'Factores generales'!$N$41,I84*'Factores generales'!$M$41+J84*'Factores generales'!$N$41)</f>
        <v>9795.1699559999997</v>
      </c>
    </row>
    <row r="85" spans="2:15" outlineLevel="1" x14ac:dyDescent="0.25">
      <c r="D85" s="82">
        <v>406</v>
      </c>
      <c r="E85" s="11" t="s">
        <v>98</v>
      </c>
      <c r="F85" s="11" t="s">
        <v>256</v>
      </c>
      <c r="H85" s="119">
        <f>'Datos Actividad'!$J81*'FE Sectorial'!$H84*'FE Sectorial'!I84*'FE Sectorial'!P84/1000</f>
        <v>194137.72079508359</v>
      </c>
      <c r="I85" s="95">
        <f>'Datos Actividad'!$J81*'FE Sectorial'!$H84*'FE Sectorial'!J84/1000/1000</f>
        <v>66.944041653477086</v>
      </c>
      <c r="J85" s="17">
        <f>'Datos Actividad'!$J81*'FE Sectorial'!$H84*'FE Sectorial'!K84/1000/1000</f>
        <v>8.9258722204636118</v>
      </c>
      <c r="K85" s="17">
        <f>'Datos Actividad'!$J81*'FE Sectorial'!$H84*'FE Sectorial'!L84/1000/1000</f>
        <v>223.14680551159032</v>
      </c>
      <c r="L85" s="17">
        <f>'Datos Actividad'!$J81*'FE Sectorial'!$H84*'FE Sectorial'!M84/1000/1000</f>
        <v>8925.8722204636124</v>
      </c>
      <c r="M85" s="17">
        <f>'Datos Actividad'!$J81*'FE Sectorial'!$H84*'FE Sectorial'!N84/1000/1000</f>
        <v>111.57340275579516</v>
      </c>
      <c r="N85" s="17">
        <f>'Datos Actividad'!$J81*'FE Sectorial'!$H84*'FE Sectorial'!O84/1000/1000</f>
        <v>0</v>
      </c>
      <c r="O85" s="87">
        <f>IF(D85&lt;400,H85+I85*'Factores generales'!$M$41+J85*'Factores generales'!$N$41,I85*'Factores generales'!$M$41+J85*'Factores generales'!$N$41)</f>
        <v>4172.8452630667389</v>
      </c>
    </row>
    <row r="86" spans="2:15" outlineLevel="1" x14ac:dyDescent="0.25">
      <c r="B86" s="1" t="s">
        <v>38</v>
      </c>
      <c r="G86" s="1"/>
      <c r="H86" s="15">
        <f>H87+H88</f>
        <v>257688.519744744</v>
      </c>
      <c r="I86" s="15">
        <f>I87+I88+I89</f>
        <v>4.6174753920000002</v>
      </c>
      <c r="J86" s="15">
        <f t="shared" ref="J86:O86" si="20">J87+J88+J89</f>
        <v>0.46192813920000003</v>
      </c>
      <c r="K86" s="15">
        <f t="shared" si="20"/>
        <v>692.47080879999999</v>
      </c>
      <c r="L86" s="15">
        <f t="shared" si="20"/>
        <v>138.47610176000001</v>
      </c>
      <c r="M86" s="15">
        <f t="shared" si="20"/>
        <v>23.081356960000001</v>
      </c>
      <c r="N86" s="15">
        <f t="shared" si="20"/>
        <v>2.1839999999999998E-2</v>
      </c>
      <c r="O86" s="15">
        <f t="shared" si="20"/>
        <v>257928.68445112798</v>
      </c>
    </row>
    <row r="87" spans="2:15" outlineLevel="1" x14ac:dyDescent="0.25">
      <c r="D87" s="82">
        <v>301</v>
      </c>
      <c r="E87" s="11" t="s">
        <v>98</v>
      </c>
      <c r="F87" s="11" t="s">
        <v>106</v>
      </c>
      <c r="H87" s="17">
        <f>'Datos Actividad'!$J83*'FE Sectorial'!$H86*'FE Sectorial'!I86*'FE Sectorial'!P86/1000</f>
        <v>257644.35762674399</v>
      </c>
      <c r="I87" s="17">
        <f>'Datos Actividad'!$J83*'FE Sectorial'!$H86*'FE Sectorial'!J86/1000/1000</f>
        <v>4.615669392</v>
      </c>
      <c r="J87" s="17">
        <f>'Datos Actividad'!$J83*'FE Sectorial'!$H86*'FE Sectorial'!K86/1000/1000</f>
        <v>0.46156693920000003</v>
      </c>
      <c r="K87" s="17">
        <f>'Datos Actividad'!$J83*'FE Sectorial'!$H86*'FE Sectorial'!L86/1000/1000</f>
        <v>692.35040879999997</v>
      </c>
      <c r="L87" s="17">
        <f>'Datos Actividad'!$J83*'FE Sectorial'!$H86*'FE Sectorial'!M86/1000/1000</f>
        <v>138.47008176</v>
      </c>
      <c r="M87" s="17">
        <f>'Datos Actividad'!$J83*'FE Sectorial'!$H86*'FE Sectorial'!N86/1000/1000</f>
        <v>23.078346960000001</v>
      </c>
      <c r="N87" s="17">
        <f>'Datos Actividad'!$J83*'FE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257884.37243512797</v>
      </c>
    </row>
    <row r="88" spans="2:15" outlineLevel="1" x14ac:dyDescent="0.25">
      <c r="D88" s="82">
        <v>206</v>
      </c>
      <c r="E88" s="11" t="s">
        <v>98</v>
      </c>
      <c r="F88" s="11" t="s">
        <v>249</v>
      </c>
      <c r="H88" s="17">
        <f>'Datos Actividad'!$J84*'FE Sectorial'!$H87*'FE Sectorial'!I87*'FE Sectorial'!P87/1000</f>
        <v>44.162117999999992</v>
      </c>
      <c r="I88" s="17">
        <f>'Datos Actividad'!$J84*'FE Sectorial'!$H87*'FE Sectorial'!J87/1000/1000</f>
        <v>1.8060000000000001E-3</v>
      </c>
      <c r="J88" s="17">
        <f>'Datos Actividad'!$J84*'FE Sectorial'!$H87*'FE Sectorial'!K87/1000/1000</f>
        <v>3.6119999999999994E-4</v>
      </c>
      <c r="K88" s="17">
        <f>'Datos Actividad'!$J84*'FE Sectorial'!$H87*'FE Sectorial'!L87/1000/1000</f>
        <v>0.12040000000000001</v>
      </c>
      <c r="L88" s="17">
        <f>'Datos Actividad'!$J84*'FE Sectorial'!$H87*'FE Sectorial'!M87/1000/1000</f>
        <v>6.0199999999999993E-3</v>
      </c>
      <c r="M88" s="17">
        <f>'Datos Actividad'!$J84*'FE Sectorial'!$H87*'FE Sectorial'!N87/1000/1000</f>
        <v>3.0099999999999997E-3</v>
      </c>
      <c r="N88" s="17">
        <f>'Datos Actividad'!$J84*'FE Sectorial'!$H87*'FE Sectorial'!O87/1000/1000</f>
        <v>2.1839999999999998E-2</v>
      </c>
      <c r="O88" s="87">
        <f>IF(D88&lt;400,H88+I88*'Factores generales'!$M$41+J88*'Factores generales'!$N$41,I88*'Factores generales'!$M$41+J88*'Factores generales'!$N$41)</f>
        <v>44.312015999999993</v>
      </c>
    </row>
    <row r="89" spans="2:15" outlineLevel="1" x14ac:dyDescent="0.25">
      <c r="D89" s="82">
        <v>406</v>
      </c>
      <c r="E89" s="11" t="s">
        <v>98</v>
      </c>
      <c r="F89" s="11" t="s">
        <v>256</v>
      </c>
      <c r="H89" s="119">
        <f>'Datos Actividad'!$J85*'FE Sectorial'!$H88*'FE Sectorial'!I88*'FE Sectorial'!P88/1000</f>
        <v>0</v>
      </c>
      <c r="I89" s="95">
        <f>'Datos Actividad'!$J85*'FE Sectorial'!$H88*'FE Sectorial'!J88/1000/1000</f>
        <v>0</v>
      </c>
      <c r="J89" s="17">
        <f>'Datos Actividad'!$J85*'FE Sectorial'!$H88*'FE Sectorial'!K88/1000/1000</f>
        <v>0</v>
      </c>
      <c r="K89" s="17">
        <f>'Datos Actividad'!$J85*'FE Sectorial'!$H88*'FE Sectorial'!L88/1000/1000</f>
        <v>0</v>
      </c>
      <c r="L89" s="17">
        <f>'Datos Actividad'!$J85*'FE Sectorial'!$H88*'FE Sectorial'!M88/1000/1000</f>
        <v>0</v>
      </c>
      <c r="M89" s="17">
        <f>'Datos Actividad'!$J85*'FE Sectorial'!$H88*'FE Sectorial'!N88/1000/1000</f>
        <v>0</v>
      </c>
      <c r="N89" s="17">
        <f>'Datos Actividad'!$J85*'FE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 x14ac:dyDescent="0.25">
      <c r="B90" s="1" t="s">
        <v>39</v>
      </c>
      <c r="G90" s="1"/>
      <c r="H90" s="15">
        <f t="shared" ref="H90:O90" si="21">H91+H92+H93</f>
        <v>5304413.6513984874</v>
      </c>
      <c r="I90" s="15">
        <f t="shared" si="21"/>
        <v>97.288634783999996</v>
      </c>
      <c r="J90" s="15">
        <f t="shared" si="21"/>
        <v>10.1313524784</v>
      </c>
      <c r="K90" s="15">
        <f t="shared" si="21"/>
        <v>14257.887717600001</v>
      </c>
      <c r="L90" s="15">
        <f t="shared" si="21"/>
        <v>2811.3286435200002</v>
      </c>
      <c r="M90" s="15">
        <f t="shared" si="21"/>
        <v>473.02687391999996</v>
      </c>
      <c r="N90" s="15">
        <f t="shared" si="21"/>
        <v>51.515519999999995</v>
      </c>
      <c r="O90" s="15">
        <f t="shared" si="21"/>
        <v>5309597.4319972554</v>
      </c>
    </row>
    <row r="91" spans="2:15" outlineLevel="1" x14ac:dyDescent="0.25">
      <c r="D91" s="82">
        <v>301</v>
      </c>
      <c r="E91" s="11" t="s">
        <v>98</v>
      </c>
      <c r="F91" s="11" t="s">
        <v>106</v>
      </c>
      <c r="H91" s="17">
        <f>'Datos Actividad'!$J87*'FE Sectorial'!$H90*'FE Sectorial'!I90*'FE Sectorial'!P90/1000</f>
        <v>5205935.6019704873</v>
      </c>
      <c r="I91" s="17">
        <f>'Datos Actividad'!$J87*'FE Sectorial'!$H90*'FE Sectorial'!J90/1000/1000</f>
        <v>93.263744783999996</v>
      </c>
      <c r="J91" s="17">
        <f>'Datos Actividad'!$J87*'FE Sectorial'!$H90*'FE Sectorial'!K90/1000/1000</f>
        <v>9.3263744784</v>
      </c>
      <c r="K91" s="17">
        <f>'Datos Actividad'!$J87*'FE Sectorial'!$H90*'FE Sectorial'!L90/1000/1000</f>
        <v>13989.5617176</v>
      </c>
      <c r="L91" s="17">
        <f>'Datos Actividad'!$J87*'FE Sectorial'!$H90*'FE Sectorial'!M90/1000/1000</f>
        <v>2797.9123435199999</v>
      </c>
      <c r="M91" s="17">
        <f>'Datos Actividad'!$J87*'FE Sectorial'!$H90*'FE Sectorial'!N90/1000/1000</f>
        <v>466.31872391999997</v>
      </c>
      <c r="N91" s="17">
        <f>'Datos Actividad'!$J87*'FE Sectorial'!$H90*'FE Sectorial'!O90/1000/1000</f>
        <v>0</v>
      </c>
      <c r="O91" s="87">
        <f>IF(D91&lt;400,H91+I91*'Factores generales'!$M$41+J91*'Factores generales'!$N$41,I91*'Factores generales'!$M$41+J91*'Factores generales'!$N$41)</f>
        <v>5210785.3166992553</v>
      </c>
    </row>
    <row r="92" spans="2:15" outlineLevel="1" x14ac:dyDescent="0.25">
      <c r="D92" s="82">
        <v>206</v>
      </c>
      <c r="E92" s="11" t="s">
        <v>98</v>
      </c>
      <c r="F92" s="11" t="s">
        <v>249</v>
      </c>
      <c r="H92" s="17">
        <f>'Datos Actividad'!$J88*'FE Sectorial'!$H91*'FE Sectorial'!I91*'FE Sectorial'!P91/1000</f>
        <v>97131.424103999991</v>
      </c>
      <c r="I92" s="17">
        <f>'Datos Actividad'!$J88*'FE Sectorial'!$H91*'FE Sectorial'!J91/1000/1000</f>
        <v>3.9721679999999999</v>
      </c>
      <c r="J92" s="17">
        <f>'Datos Actividad'!$J88*'FE Sectorial'!$H91*'FE Sectorial'!K91/1000/1000</f>
        <v>0.79443359999999996</v>
      </c>
      <c r="K92" s="17">
        <f>'Datos Actividad'!$J88*'FE Sectorial'!$H91*'FE Sectorial'!L91/1000/1000</f>
        <v>264.81119999999999</v>
      </c>
      <c r="L92" s="17">
        <f>'Datos Actividad'!$J88*'FE Sectorial'!$H91*'FE Sectorial'!M91/1000/1000</f>
        <v>13.24056</v>
      </c>
      <c r="M92" s="17">
        <f>'Datos Actividad'!$J88*'FE Sectorial'!$H91*'FE Sectorial'!N91/1000/1000</f>
        <v>6.6202800000000002</v>
      </c>
      <c r="N92" s="17">
        <f>'Datos Actividad'!$J88*'FE Sectorial'!$H91*'FE Sectorial'!O91/1000/1000</f>
        <v>48.035519999999998</v>
      </c>
      <c r="O92" s="87">
        <f>IF(D92&lt;400,H92+I92*'Factores generales'!$M$41+J92*'Factores generales'!$N$41,I92*'Factores generales'!$M$41+J92*'Factores generales'!$N$41)</f>
        <v>97461.114047999989</v>
      </c>
    </row>
    <row r="93" spans="2:15" outlineLevel="1" x14ac:dyDescent="0.25">
      <c r="D93" s="82">
        <v>207</v>
      </c>
      <c r="E93" s="11" t="s">
        <v>98</v>
      </c>
      <c r="F93" s="11" t="s">
        <v>250</v>
      </c>
      <c r="H93" s="17">
        <f>'Datos Actividad'!$J89*'FE Sectorial'!$H92*'FE Sectorial'!I92*'FE Sectorial'!P92/1000</f>
        <v>1346.6253240000001</v>
      </c>
      <c r="I93" s="17">
        <f>'Datos Actividad'!$J89*'FE Sectorial'!$H92*'FE Sectorial'!J92/1000/1000</f>
        <v>5.2721999999999998E-2</v>
      </c>
      <c r="J93" s="17">
        <f>'Datos Actividad'!$J89*'FE Sectorial'!$H92*'FE Sectorial'!K92/1000/1000</f>
        <v>1.0544399999999999E-2</v>
      </c>
      <c r="K93" s="17">
        <f>'Datos Actividad'!$J89*'FE Sectorial'!$H92*'FE Sectorial'!L92/1000/1000</f>
        <v>3.5148000000000001</v>
      </c>
      <c r="L93" s="17">
        <f>'Datos Actividad'!$J89*'FE Sectorial'!$H92*'FE Sectorial'!M92/1000/1000</f>
        <v>0.17574000000000001</v>
      </c>
      <c r="M93" s="17">
        <f>'Datos Actividad'!$J89*'FE Sectorial'!$H92*'FE Sectorial'!N92/1000/1000</f>
        <v>8.7870000000000004E-2</v>
      </c>
      <c r="N93" s="17">
        <f>'Datos Actividad'!$J89*'FE Sectorial'!$H92*'FE Sectorial'!O92/1000/1000</f>
        <v>3.48</v>
      </c>
      <c r="O93" s="87">
        <f>IF(D93&lt;400,H93+I93*'Factores generales'!$M$41+J93*'Factores generales'!$N$41,I93*'Factores generales'!$M$41+J93*'Factores generales'!$N$41)</f>
        <v>1351.00125</v>
      </c>
    </row>
    <row r="94" spans="2:15" outlineLevel="1" x14ac:dyDescent="0.25">
      <c r="B94" s="28" t="s">
        <v>272</v>
      </c>
      <c r="C94" s="28"/>
      <c r="D94" s="83"/>
      <c r="E94" s="29"/>
      <c r="G94" s="1"/>
      <c r="H94" s="15">
        <f>SUM(H95:H100)</f>
        <v>2353584.0275653303</v>
      </c>
      <c r="I94" s="15">
        <f t="shared" ref="I94:O94" si="22">SUM(I95:I100)</f>
        <v>83.167186910239792</v>
      </c>
      <c r="J94" s="15">
        <f t="shared" si="22"/>
        <v>15.847263866066223</v>
      </c>
      <c r="K94" s="15">
        <f t="shared" si="22"/>
        <v>5810.002364777466</v>
      </c>
      <c r="L94" s="15">
        <f t="shared" si="22"/>
        <v>525.83236321825871</v>
      </c>
      <c r="M94" s="15">
        <f t="shared" si="22"/>
        <v>164.81776204979084</v>
      </c>
      <c r="N94" s="15">
        <f t="shared" si="22"/>
        <v>3245.8065386140975</v>
      </c>
      <c r="O94" s="15">
        <f t="shared" si="22"/>
        <v>2360243.1902889255</v>
      </c>
    </row>
    <row r="95" spans="2:15" outlineLevel="1" x14ac:dyDescent="0.25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Actividad'!$J91*'FE Sectorial'!$H94*'FE Sectorial'!I94*'FE Sectorial'!P94/1000</f>
        <v>0</v>
      </c>
      <c r="I95" s="17">
        <f>'Datos Actividad'!$J91*'FE Sectorial'!$H94*'FE Sectorial'!J94/1000/1000</f>
        <v>0</v>
      </c>
      <c r="J95" s="17">
        <f>'Datos Actividad'!$J91*'FE Sectorial'!$H94*'FE Sectorial'!K94/1000/1000</f>
        <v>0</v>
      </c>
      <c r="K95" s="17">
        <f>'Datos Actividad'!$J91*'FE Sectorial'!$H94*'FE Sectorial'!L94/1000/1000</f>
        <v>0</v>
      </c>
      <c r="L95" s="17">
        <f>'Datos Actividad'!$J91*'FE Sectorial'!$H94*'FE Sectorial'!M94/1000/1000</f>
        <v>0</v>
      </c>
      <c r="M95" s="17">
        <f>'Datos Actividad'!$J91*'FE Sectorial'!$H94*'FE Sectorial'!N94/1000/1000</f>
        <v>0</v>
      </c>
      <c r="N95" s="17">
        <f>'Datos Actividad'!$J91*'FE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 x14ac:dyDescent="0.25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Actividad'!$J92*'FE Sectorial'!$H95*'FE Sectorial'!I95*'FE Sectorial'!P95/1000</f>
        <v>491114.73369863001</v>
      </c>
      <c r="I96" s="17">
        <f>'Datos Actividad'!$J92*'FE Sectorial'!$H95*'FE Sectorial'!J95/1000/1000</f>
        <v>7.8617351598173499</v>
      </c>
      <c r="J96" s="17">
        <f>'Datos Actividad'!$J92*'FE Sectorial'!$H95*'FE Sectorial'!K95/1000/1000</f>
        <v>0.78617351598173513</v>
      </c>
      <c r="K96" s="17">
        <f>'Datos Actividad'!$J92*'FE Sectorial'!$H95*'FE Sectorial'!L95/1000/1000</f>
        <v>1179.2602739726026</v>
      </c>
      <c r="L96" s="17">
        <f>'Datos Actividad'!$J92*'FE Sectorial'!$H95*'FE Sectorial'!M95/1000/1000</f>
        <v>235.85205479452048</v>
      </c>
      <c r="M96" s="17">
        <f>'Datos Actividad'!$J92*'FE Sectorial'!$H95*'FE Sectorial'!N95/1000/1000</f>
        <v>39.30867579908675</v>
      </c>
      <c r="N96" s="17">
        <f>'Datos Actividad'!$J92*'FE Sectorial'!$H95*'FE Sectorial'!O95/1000/1000</f>
        <v>33.242009132420094</v>
      </c>
      <c r="O96" s="87">
        <f>IF(D96&lt;400,H96+I96*'Factores generales'!$M$41+J96*'Factores generales'!$N$41,I96*'Factores generales'!$M$41+J96*'Factores generales'!$N$41)</f>
        <v>491523.54392694047</v>
      </c>
    </row>
    <row r="97" spans="1:15" outlineLevel="1" x14ac:dyDescent="0.25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Actividad'!$J93*'FE Sectorial'!$H96*'FE Sectorial'!I96*'FE Sectorial'!P96/1000</f>
        <v>213133.15091945964</v>
      </c>
      <c r="I97" s="17">
        <f>'Datos Actividad'!$J93*'FE Sectorial'!$H96*'FE Sectorial'!J96/1000/1000</f>
        <v>8.7160328352128431</v>
      </c>
      <c r="J97" s="17">
        <f>'Datos Actividad'!$J93*'FE Sectorial'!$H96*'FE Sectorial'!K96/1000/1000</f>
        <v>1.7432065670425685</v>
      </c>
      <c r="K97" s="17">
        <f>'Datos Actividad'!$J93*'FE Sectorial'!$H96*'FE Sectorial'!L96/1000/1000</f>
        <v>581.06885568085625</v>
      </c>
      <c r="L97" s="17">
        <f>'Datos Actividad'!$J93*'FE Sectorial'!$H96*'FE Sectorial'!M96/1000/1000</f>
        <v>29.053442784042812</v>
      </c>
      <c r="M97" s="17">
        <f>'Datos Actividad'!$J93*'FE Sectorial'!$H96*'FE Sectorial'!N96/1000/1000</f>
        <v>14.526721392021406</v>
      </c>
      <c r="N97" s="17">
        <f>'Datos Actividad'!$J93*'FE Sectorial'!$H96*'FE Sectorial'!O96/1000/1000</f>
        <v>105.40318777466693</v>
      </c>
      <c r="O97" s="87">
        <f>IF(D97&lt;400,H97+I97*'Factores generales'!$M$41+J97*'Factores generales'!$N$41,I97*'Factores generales'!$M$41+J97*'Factores generales'!$N$41)</f>
        <v>213856.5816447823</v>
      </c>
    </row>
    <row r="98" spans="1:15" outlineLevel="1" x14ac:dyDescent="0.25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Actividad'!$J94*'FE Sectorial'!$H97*'FE Sectorial'!I97*'FE Sectorial'!P97/1000</f>
        <v>1127715.7885714287</v>
      </c>
      <c r="I98" s="17">
        <f>'Datos Actividad'!$J94*'FE Sectorial'!$H97*'FE Sectorial'!J97/1000/1000</f>
        <v>44.151428571428575</v>
      </c>
      <c r="J98" s="17">
        <f>'Datos Actividad'!$J94*'FE Sectorial'!$H97*'FE Sectorial'!K97/1000/1000</f>
        <v>8.8302857142857132</v>
      </c>
      <c r="K98" s="17">
        <f>'Datos Actividad'!$J94*'FE Sectorial'!$H97*'FE Sectorial'!L97/1000/1000</f>
        <v>2943.428571428572</v>
      </c>
      <c r="L98" s="17">
        <f>'Datos Actividad'!$J94*'FE Sectorial'!$H97*'FE Sectorial'!M97/1000/1000</f>
        <v>147.17142857142861</v>
      </c>
      <c r="M98" s="17">
        <f>'Datos Actividad'!$J94*'FE Sectorial'!$H97*'FE Sectorial'!N97/1000/1000</f>
        <v>73.585714285714303</v>
      </c>
      <c r="N98" s="17">
        <f>'Datos Actividad'!$J94*'FE Sectorial'!$H97*'FE Sectorial'!O97/1000/1000</f>
        <v>2914.2857142857147</v>
      </c>
      <c r="O98" s="87">
        <f>IF(D98&lt;400,H98+I98*'Factores generales'!$M$41+J98*'Factores generales'!$N$41,I98*'Factores generales'!$M$41+J98*'Factores generales'!$N$41)</f>
        <v>1131380.3571428573</v>
      </c>
    </row>
    <row r="99" spans="1:15" outlineLevel="1" x14ac:dyDescent="0.25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Actividad'!$J95*'FE Sectorial'!$H98*'FE Sectorial'!I98*'FE Sectorial'!P98/1000</f>
        <v>245826.87524959829</v>
      </c>
      <c r="I99" s="17">
        <f>'Datos Actividad'!$J95*'FE Sectorial'!$H98*'FE Sectorial'!J98/1000/1000</f>
        <v>10.749349567082003</v>
      </c>
      <c r="J99" s="17">
        <f>'Datos Actividad'!$J95*'FE Sectorial'!$H98*'FE Sectorial'!K98/1000/1000</f>
        <v>2.149869913416401</v>
      </c>
      <c r="K99" s="17">
        <f>'Datos Actividad'!$J95*'FE Sectorial'!$H98*'FE Sectorial'!L98/1000/1000</f>
        <v>716.62330447213355</v>
      </c>
      <c r="L99" s="17">
        <f>'Datos Actividad'!$J95*'FE Sectorial'!$H98*'FE Sectorial'!M98/1000/1000</f>
        <v>35.831165223606675</v>
      </c>
      <c r="M99" s="17">
        <f>'Datos Actividad'!$J95*'FE Sectorial'!$H98*'FE Sectorial'!N98/1000/1000</f>
        <v>17.915582611803337</v>
      </c>
      <c r="N99" s="17">
        <f>'Datos Actividad'!$J95*'FE Sectorial'!$H98*'FE Sectorial'!O98/1000/1000</f>
        <v>16.176598295082023</v>
      </c>
      <c r="O99" s="87">
        <f>IF(D99&lt;400,H99+I99*'Factores generales'!$M$41+J99*'Factores generales'!$N$41,I99*'Factores generales'!$M$41+J99*'Factores generales'!$N$41)</f>
        <v>246719.07126366609</v>
      </c>
    </row>
    <row r="100" spans="1:15" outlineLevel="1" x14ac:dyDescent="0.25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Actividad'!$J96*'FE Sectorial'!$H99*'FE Sectorial'!I99*'FE Sectorial'!P99/1000</f>
        <v>275793.47912621347</v>
      </c>
      <c r="I100" s="17">
        <f>'Datos Actividad'!$J96*'FE Sectorial'!$H99*'FE Sectorial'!J99/1000/1000</f>
        <v>11.688640776699025</v>
      </c>
      <c r="J100" s="17">
        <f>'Datos Actividad'!$J96*'FE Sectorial'!$H99*'FE Sectorial'!K99/1000/1000</f>
        <v>2.3377281553398048</v>
      </c>
      <c r="K100" s="17">
        <f>'Datos Actividad'!$J96*'FE Sectorial'!$H99*'FE Sectorial'!L99/1000/1000</f>
        <v>389.62135922330083</v>
      </c>
      <c r="L100" s="17">
        <f>'Datos Actividad'!$J96*'FE Sectorial'!$H99*'FE Sectorial'!M99/1000/1000</f>
        <v>77.924271844660169</v>
      </c>
      <c r="M100" s="17">
        <f>'Datos Actividad'!$J96*'FE Sectorial'!$H99*'FE Sectorial'!N99/1000/1000</f>
        <v>19.481067961165042</v>
      </c>
      <c r="N100" s="17">
        <f>'Datos Actividad'!$J96*'FE Sectorial'!$H99*'FE Sectorial'!O99/1000/1000</f>
        <v>176.6990291262135</v>
      </c>
      <c r="O100" s="87">
        <f>IF(D100&lt;400,H100+I100*'Factores generales'!$M$41+J100*'Factores generales'!$N$41,I100*'Factores generales'!$M$41+J100*'Factores generales'!$N$41)</f>
        <v>276763.63631067949</v>
      </c>
    </row>
    <row r="101" spans="1:15" x14ac:dyDescent="0.2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42710949.852993891</v>
      </c>
      <c r="I101" s="129">
        <f t="shared" si="23"/>
        <v>15215.534599569111</v>
      </c>
      <c r="J101" s="129">
        <f t="shared" si="23"/>
        <v>3106.0694429701748</v>
      </c>
      <c r="K101" s="129">
        <f t="shared" si="23"/>
        <v>403451.13382149255</v>
      </c>
      <c r="L101" s="129">
        <f t="shared" si="23"/>
        <v>2054041.3035931729</v>
      </c>
      <c r="M101" s="129">
        <f t="shared" si="23"/>
        <v>382274.86101670453</v>
      </c>
      <c r="N101" s="129">
        <f t="shared" si="23"/>
        <v>10925.254631000895</v>
      </c>
      <c r="O101" s="129">
        <f t="shared" si="23"/>
        <v>43993357.606905594</v>
      </c>
    </row>
    <row r="102" spans="1:15" outlineLevel="1" x14ac:dyDescent="0.25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1216472.8356664884</v>
      </c>
      <c r="I102" s="134">
        <f t="shared" ref="I102:O102" si="24">I105</f>
        <v>8.5927303501200001</v>
      </c>
      <c r="J102" s="134">
        <f t="shared" si="24"/>
        <v>34.37092140048</v>
      </c>
      <c r="K102" s="134">
        <f t="shared" si="24"/>
        <v>4296.3651750600002</v>
      </c>
      <c r="L102" s="134">
        <f t="shared" si="24"/>
        <v>1718.5460700240003</v>
      </c>
      <c r="M102" s="134">
        <f t="shared" si="24"/>
        <v>859.27303501200015</v>
      </c>
      <c r="N102" s="134">
        <f t="shared" si="24"/>
        <v>779.3859728000001</v>
      </c>
      <c r="O102" s="134">
        <f t="shared" si="24"/>
        <v>1227308.2686379896</v>
      </c>
    </row>
    <row r="103" spans="1:15" outlineLevel="1" x14ac:dyDescent="0.25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2575255.5236273068</v>
      </c>
      <c r="I103" s="15">
        <f t="shared" ref="I103:O103" si="25">I104</f>
        <v>18.190686753036005</v>
      </c>
      <c r="J103" s="15">
        <f t="shared" si="25"/>
        <v>72.762747012144018</v>
      </c>
      <c r="K103" s="15">
        <f t="shared" si="25"/>
        <v>9095.3433765180016</v>
      </c>
      <c r="L103" s="15">
        <f t="shared" si="25"/>
        <v>3638.1373506072005</v>
      </c>
      <c r="M103" s="15">
        <f t="shared" si="25"/>
        <v>1819.0686753036002</v>
      </c>
      <c r="N103" s="15">
        <f t="shared" si="25"/>
        <v>1649.9489118400002</v>
      </c>
      <c r="O103" s="15">
        <f t="shared" si="25"/>
        <v>2598193.9796228851</v>
      </c>
    </row>
    <row r="104" spans="1:15" outlineLevel="1" x14ac:dyDescent="0.25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Actividad'!$J100*'FE Sectorial'!$H103*'FE Sectorial'!I103*'FE Sectorial'!P103/1000</f>
        <v>2575255.5236273068</v>
      </c>
      <c r="I104" s="17">
        <f>'Datos Actividad'!$J100*'FE Sectorial'!$H103*'FE Sectorial'!J103/1000/1000</f>
        <v>18.190686753036005</v>
      </c>
      <c r="J104" s="17">
        <f>'Datos Actividad'!$J100*'FE Sectorial'!$H103*'FE Sectorial'!K103/1000/1000</f>
        <v>72.762747012144018</v>
      </c>
      <c r="K104" s="17">
        <f>'Datos Actividad'!$J100*'FE Sectorial'!$H103*'FE Sectorial'!L103/1000/1000</f>
        <v>9095.3433765180016</v>
      </c>
      <c r="L104" s="17">
        <f>'Datos Actividad'!$J100*'FE Sectorial'!$H103*'FE Sectorial'!M103/1000/1000</f>
        <v>3638.1373506072005</v>
      </c>
      <c r="M104" s="17">
        <f>'Datos Actividad'!$J100*'FE Sectorial'!$H103*'FE Sectorial'!N103/1000/1000</f>
        <v>1819.0686753036002</v>
      </c>
      <c r="N104" s="17">
        <f>'Datos Actividad'!$J100*'FE Sectorial'!$H103*'FE Sectorial'!O103/1000/1000</f>
        <v>1649.9489118400002</v>
      </c>
      <c r="O104" s="87">
        <f>IF(D104&lt;400,H104+I104*'Factores generales'!$M$41+J104*'Factores generales'!$N$41,I104*'Factores generales'!$M$41+J104*'Factores generales'!$N$41)</f>
        <v>2598193.9796228851</v>
      </c>
    </row>
    <row r="105" spans="1:15" outlineLevel="1" x14ac:dyDescent="0.25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1216472.8356664884</v>
      </c>
      <c r="I105" s="15">
        <f t="shared" ref="I105:O105" si="26">I106</f>
        <v>8.5927303501200001</v>
      </c>
      <c r="J105" s="15">
        <f t="shared" si="26"/>
        <v>34.37092140048</v>
      </c>
      <c r="K105" s="15">
        <f t="shared" si="26"/>
        <v>4296.3651750600002</v>
      </c>
      <c r="L105" s="15">
        <f t="shared" si="26"/>
        <v>1718.5460700240003</v>
      </c>
      <c r="M105" s="15">
        <f t="shared" si="26"/>
        <v>859.27303501200015</v>
      </c>
      <c r="N105" s="15">
        <f t="shared" si="26"/>
        <v>779.3859728000001</v>
      </c>
      <c r="O105" s="15">
        <f t="shared" si="26"/>
        <v>1227308.2686379896</v>
      </c>
    </row>
    <row r="106" spans="1:15" outlineLevel="1" x14ac:dyDescent="0.25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Actividad'!$J102*'FE Sectorial'!$H105*'FE Sectorial'!I105*'FE Sectorial'!P105/1000</f>
        <v>1216472.8356664884</v>
      </c>
      <c r="I106" s="17">
        <f>'Datos Actividad'!$J102*'FE Sectorial'!$H105*'FE Sectorial'!J105/1000/1000</f>
        <v>8.5927303501200001</v>
      </c>
      <c r="J106" s="17">
        <f>'Datos Actividad'!$J102*'FE Sectorial'!$H105*'FE Sectorial'!K105/1000/1000</f>
        <v>34.37092140048</v>
      </c>
      <c r="K106" s="17">
        <f>'Datos Actividad'!$J102*'FE Sectorial'!$H105*'FE Sectorial'!L105/1000/1000</f>
        <v>4296.3651750600002</v>
      </c>
      <c r="L106" s="17">
        <f>'Datos Actividad'!$J102*'FE Sectorial'!$H105*'FE Sectorial'!M105/1000/1000</f>
        <v>1718.5460700240003</v>
      </c>
      <c r="M106" s="17">
        <f>'Datos Actividad'!$J102*'FE Sectorial'!$H105*'FE Sectorial'!N105/1000/1000</f>
        <v>859.27303501200015</v>
      </c>
      <c r="N106" s="17">
        <f>'Datos Actividad'!$J102*'FE Sectorial'!$H105*'FE Sectorial'!O105/1000/1000</f>
        <v>779.3859728000001</v>
      </c>
      <c r="O106" s="87">
        <f>IF(D106&lt;400,H106+I106*'Factores generales'!$M$41+J106*'Factores generales'!$N$41,I106*'Factores generales'!$M$41+J106*'Factores generales'!$N$41)</f>
        <v>1227308.2686379896</v>
      </c>
    </row>
    <row r="107" spans="1:15" outlineLevel="1" x14ac:dyDescent="0.25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38458693.947734617</v>
      </c>
      <c r="I107" s="134">
        <f t="shared" si="27"/>
        <v>15133.406824267217</v>
      </c>
      <c r="J107" s="134">
        <f t="shared" si="27"/>
        <v>3006.7578871438695</v>
      </c>
      <c r="K107" s="134">
        <f t="shared" si="27"/>
        <v>385929.3791657025</v>
      </c>
      <c r="L107" s="134">
        <f t="shared" si="27"/>
        <v>2047010.9767868856</v>
      </c>
      <c r="M107" s="134">
        <f t="shared" si="27"/>
        <v>380304.57960923982</v>
      </c>
      <c r="N107" s="134">
        <f t="shared" si="27"/>
        <v>9938.4719649978488</v>
      </c>
      <c r="O107" s="134">
        <f t="shared" si="27"/>
        <v>39708590.436058827</v>
      </c>
    </row>
    <row r="108" spans="1:15" outlineLevel="1" x14ac:dyDescent="0.25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36474472.209916651</v>
      </c>
      <c r="I108" s="15">
        <f t="shared" ref="I108:O108" si="28">I109+I110+I111+I112+I113</f>
        <v>15027.919225233833</v>
      </c>
      <c r="J108" s="15">
        <f t="shared" si="28"/>
        <v>2901.2702881104851</v>
      </c>
      <c r="K108" s="15">
        <f t="shared" si="28"/>
        <v>364290.89731270052</v>
      </c>
      <c r="L108" s="15">
        <f t="shared" si="28"/>
        <v>2019962.8744706332</v>
      </c>
      <c r="M108" s="15">
        <f t="shared" si="28"/>
        <v>374894.95914598933</v>
      </c>
      <c r="N108" s="15">
        <f t="shared" si="28"/>
        <v>8957.1919739896202</v>
      </c>
      <c r="O108" s="15">
        <f t="shared" si="28"/>
        <v>37689452.302960813</v>
      </c>
    </row>
    <row r="109" spans="1:15" outlineLevel="1" x14ac:dyDescent="0.25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Actividad'!$J105*'FE Sectorial'!$H108*'FE Sectorial'!I108*'FE Sectorial'!P108/1000</f>
        <v>5256223.4591832245</v>
      </c>
      <c r="I109" s="17">
        <f>'Datos Actividad'!$J105*'FE Sectorial'!$H108*'FE Sectorial'!J108/1000/1000</f>
        <v>8663.1474349439995</v>
      </c>
      <c r="J109" s="17">
        <f>'Datos Actividad'!$J105*'FE Sectorial'!$H108*'FE Sectorial'!K108/1000/1000</f>
        <v>282.49393809600002</v>
      </c>
      <c r="K109" s="17">
        <f>'Datos Actividad'!$J105*'FE Sectorial'!$H108*'FE Sectorial'!L108/1000/1000</f>
        <v>56498.787619200004</v>
      </c>
      <c r="L109" s="17">
        <f>'Datos Actividad'!$J105*'FE Sectorial'!$H108*'FE Sectorial'!M108/1000/1000</f>
        <v>37665.858412800007</v>
      </c>
      <c r="M109" s="17">
        <f>'Datos Actividad'!$J105*'FE Sectorial'!$H108*'FE Sectorial'!N108/1000/1000</f>
        <v>470.82323016000004</v>
      </c>
      <c r="N109" s="17">
        <f>'Datos Actividad'!$J105*'FE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5525722.6761268089</v>
      </c>
    </row>
    <row r="110" spans="1:15" outlineLevel="1" x14ac:dyDescent="0.25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Actividad'!$J106*'FE Sectorial'!$H109*'FE Sectorial'!I109*'FE Sectorial'!P109/1000</f>
        <v>16100512.917146908</v>
      </c>
      <c r="I110" s="17">
        <f>'Datos Actividad'!$J106*'FE Sectorial'!$H109*'FE Sectorial'!J109/1000/1000</f>
        <v>855.9549663554975</v>
      </c>
      <c r="J110" s="17">
        <f>'Datos Actividad'!$J106*'FE Sectorial'!$H109*'FE Sectorial'!K109/1000/1000</f>
        <v>855.9549663554975</v>
      </c>
      <c r="K110" s="17">
        <f>'Datos Actividad'!$J106*'FE Sectorial'!$H109*'FE Sectorial'!L109/1000/1000</f>
        <v>175580.50591907642</v>
      </c>
      <c r="L110" s="17">
        <f>'Datos Actividad'!$J106*'FE Sectorial'!$H109*'FE Sectorial'!M109/1000/1000</f>
        <v>219475.63239884551</v>
      </c>
      <c r="M110" s="17">
        <f>'Datos Actividad'!$J106*'FE Sectorial'!$H109*'FE Sectorial'!N109/1000/1000</f>
        <v>43895.126479769104</v>
      </c>
      <c r="N110" s="17">
        <f>'Datos Actividad'!$J106*'FE Sectorial'!$H109*'FE Sectorial'!O109/1000/1000</f>
        <v>7962.3717800511404</v>
      </c>
      <c r="O110" s="87">
        <f>IF(D110&lt;400,H110+I110*'Factores generales'!$M$41+J110*'Factores generales'!$N$41,I110*'Factores generales'!$M$41+J110*'Factores generales'!$N$41)</f>
        <v>16383834.011010578</v>
      </c>
    </row>
    <row r="111" spans="1:15" outlineLevel="1" x14ac:dyDescent="0.25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Actividad'!$J107*'FE Sectorial'!$H110*'FE Sectorial'!I110*'FE Sectorial'!P110/1000</f>
        <v>15117735.83358652</v>
      </c>
      <c r="I111" s="17">
        <f>'Datos Actividad'!$J107*'FE Sectorial'!$H110*'FE Sectorial'!J110/1000/1000</f>
        <v>5508.8168239343368</v>
      </c>
      <c r="J111" s="17">
        <f>'Datos Actividad'!$J107*'FE Sectorial'!$H110*'FE Sectorial'!K110/1000/1000</f>
        <v>1762.8213836589878</v>
      </c>
      <c r="K111" s="17">
        <f>'Datos Actividad'!$J107*'FE Sectorial'!$H110*'FE Sectorial'!L110/1000/1000</f>
        <v>132211.60377442409</v>
      </c>
      <c r="L111" s="17">
        <f>'Datos Actividad'!$J107*'FE Sectorial'!$H110*'FE Sectorial'!M110/1000/1000</f>
        <v>1762821.3836589877</v>
      </c>
      <c r="M111" s="17">
        <f>'Datos Actividad'!$J107*'FE Sectorial'!$H110*'FE Sectorial'!N110/1000/1000</f>
        <v>330529.00943606021</v>
      </c>
      <c r="N111" s="17">
        <f>'Datos Actividad'!$J107*'FE Sectorial'!$H110*'FE Sectorial'!O110/1000/1000</f>
        <v>994.82019393848066</v>
      </c>
      <c r="O111" s="87">
        <f>IF(D111&lt;400,H111+I111*'Factores generales'!$M$41+J111*'Factores generales'!$N$41,I111*'Factores generales'!$M$41+J111*'Factores generales'!$N$41)</f>
        <v>15779895.615823427</v>
      </c>
    </row>
    <row r="112" spans="1:15" outlineLevel="1" x14ac:dyDescent="0.25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Actividad'!$J108*'FE Sectorial'!$H111*'FE Sectorial'!I111*'FE Sectorial'!P111/1000</f>
        <v>0</v>
      </c>
      <c r="I112" s="17">
        <f>'Datos Actividad'!$J108*'FE Sectorial'!$H111*'FE Sectorial'!J111/1000/1000</f>
        <v>0</v>
      </c>
      <c r="J112" s="17">
        <f>'Datos Actividad'!$J108*'FE Sectorial'!$H111*'FE Sectorial'!K111/1000/1000</f>
        <v>0</v>
      </c>
      <c r="K112" s="17">
        <f>'Datos Actividad'!$J108*'FE Sectorial'!$H111*'FE Sectorial'!L111/1000/1000</f>
        <v>0</v>
      </c>
      <c r="L112" s="17">
        <f>'Datos Actividad'!$J108*'FE Sectorial'!$H111*'FE Sectorial'!M111/1000/1000</f>
        <v>0</v>
      </c>
      <c r="M112" s="17">
        <f>'Datos Actividad'!$J108*'FE Sectorial'!$H111*'FE Sectorial'!N111/1000/1000</f>
        <v>0</v>
      </c>
      <c r="N112" s="17">
        <f>'Datos Actividad'!$J108*'FE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 x14ac:dyDescent="0.25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Actividad'!$J109*'FE Sectorial'!$H112*'FE Sectorial'!I112*'FE Sectorial'!P112/1000</f>
        <v>0</v>
      </c>
      <c r="I113" s="17">
        <f>'Datos Actividad'!$J109*'FE Sectorial'!$H112*'FE Sectorial'!J112/1000/1000</f>
        <v>0</v>
      </c>
      <c r="J113" s="17">
        <f>'Datos Actividad'!$J109*'FE Sectorial'!$H112*'FE Sectorial'!K112/1000/1000</f>
        <v>0</v>
      </c>
      <c r="K113" s="17">
        <f>'Datos Actividad'!$J109*'FE Sectorial'!$H112*'FE Sectorial'!L112/1000/1000</f>
        <v>0</v>
      </c>
      <c r="L113" s="17">
        <f>'Datos Actividad'!$J109*'FE Sectorial'!$H112*'FE Sectorial'!M112/1000/1000</f>
        <v>0</v>
      </c>
      <c r="M113" s="17">
        <f>'Datos Actividad'!$J109*'FE Sectorial'!$H112*'FE Sectorial'!N112/1000/1000</f>
        <v>0</v>
      </c>
      <c r="N113" s="17">
        <f>'Datos Actividad'!$J109*'FE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 x14ac:dyDescent="0.25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1984221.7378179645</v>
      </c>
      <c r="I114" s="15">
        <f t="shared" ref="I114:O114" si="29">I115</f>
        <v>105.48759903338463</v>
      </c>
      <c r="J114" s="15">
        <f t="shared" si="29"/>
        <v>105.48759903338463</v>
      </c>
      <c r="K114" s="15">
        <f t="shared" si="29"/>
        <v>21638.481853001969</v>
      </c>
      <c r="L114" s="15">
        <f t="shared" si="29"/>
        <v>27048.102316252465</v>
      </c>
      <c r="M114" s="15">
        <f t="shared" si="29"/>
        <v>5409.6204632504923</v>
      </c>
      <c r="N114" s="15">
        <f t="shared" si="29"/>
        <v>981.27999100822899</v>
      </c>
      <c r="O114" s="15">
        <f t="shared" si="29"/>
        <v>2019138.1330980149</v>
      </c>
    </row>
    <row r="115" spans="1:15" outlineLevel="1" x14ac:dyDescent="0.25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Actividad'!$J111*'FE Sectorial'!$H114*'FE Sectorial'!I114*'FE Sectorial'!P114/1000</f>
        <v>1984221.7378179645</v>
      </c>
      <c r="I115" s="17">
        <f>'Datos Actividad'!$J111*'FE Sectorial'!$H114*'FE Sectorial'!J114/1000/1000</f>
        <v>105.48759903338463</v>
      </c>
      <c r="J115" s="17">
        <f>'Datos Actividad'!$J111*'FE Sectorial'!$H114*'FE Sectorial'!K114/1000/1000</f>
        <v>105.48759903338463</v>
      </c>
      <c r="K115" s="17">
        <f>'Datos Actividad'!$J111*'FE Sectorial'!$H114*'FE Sectorial'!L114/1000/1000</f>
        <v>21638.481853001969</v>
      </c>
      <c r="L115" s="17">
        <f>'Datos Actividad'!$J111*'FE Sectorial'!$H114*'FE Sectorial'!M114/1000/1000</f>
        <v>27048.102316252465</v>
      </c>
      <c r="M115" s="17">
        <f>'Datos Actividad'!$J111*'FE Sectorial'!$H114*'FE Sectorial'!N114/1000/1000</f>
        <v>5409.6204632504923</v>
      </c>
      <c r="N115" s="17">
        <f>'Datos Actividad'!$J111*'FE Sectorial'!$H114*'FE Sectorial'!O114/1000/1000</f>
        <v>981.27999100822899</v>
      </c>
      <c r="O115" s="87">
        <f>IF(D115&lt;400,H115+I115*'Factores generales'!$M$41+J115*'Factores generales'!$N$41,I115*'Factores generales'!$M$41+J115*'Factores generales'!$N$41)</f>
        <v>2019138.1330980149</v>
      </c>
    </row>
    <row r="116" spans="1:15" outlineLevel="1" x14ac:dyDescent="0.25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141729.31538940308</v>
      </c>
      <c r="I116" s="134">
        <f t="shared" ref="I116:O116" si="30">I117</f>
        <v>8.017784578116153</v>
      </c>
      <c r="J116" s="134">
        <f t="shared" si="30"/>
        <v>55.255093719065542</v>
      </c>
      <c r="K116" s="134">
        <f t="shared" si="30"/>
        <v>2318.3955406600921</v>
      </c>
      <c r="L116" s="134">
        <f t="shared" si="30"/>
        <v>1931.9962838834103</v>
      </c>
      <c r="M116" s="134">
        <f t="shared" si="30"/>
        <v>386.39925677668208</v>
      </c>
      <c r="N116" s="134">
        <f t="shared" si="30"/>
        <v>70.091027973444653</v>
      </c>
      <c r="O116" s="134">
        <f t="shared" si="30"/>
        <v>159026.76791845384</v>
      </c>
    </row>
    <row r="117" spans="1:15" outlineLevel="1" x14ac:dyDescent="0.25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Actividad'!$J113*'FE Sectorial'!$H116*'FE Sectorial'!I116*'FE Sectorial'!P116/1000</f>
        <v>141729.31538940308</v>
      </c>
      <c r="I117" s="17">
        <f>'Datos Actividad'!$J113*'FE Sectorial'!$H116*'FE Sectorial'!J116/1000/1000</f>
        <v>8.017784578116153</v>
      </c>
      <c r="J117" s="17">
        <f>'Datos Actividad'!$J113*'FE Sectorial'!$H116*'FE Sectorial'!K116/1000/1000</f>
        <v>55.255093719065542</v>
      </c>
      <c r="K117" s="17">
        <f>'Datos Actividad'!$J113*'FE Sectorial'!$H116*'FE Sectorial'!L116/1000/1000</f>
        <v>2318.3955406600921</v>
      </c>
      <c r="L117" s="17">
        <f>'Datos Actividad'!$J113*'FE Sectorial'!$H116*'FE Sectorial'!M116/1000/1000</f>
        <v>1931.9962838834103</v>
      </c>
      <c r="M117" s="17">
        <f>'Datos Actividad'!$J113*'FE Sectorial'!$H116*'FE Sectorial'!N116/1000/1000</f>
        <v>386.39925677668208</v>
      </c>
      <c r="N117" s="17">
        <f>'Datos Actividad'!$J113*'FE Sectorial'!$H116*'FE Sectorial'!O116/1000/1000</f>
        <v>70.091027973444653</v>
      </c>
      <c r="O117" s="87">
        <f>IF(D117&lt;400,H117+I117*'Factores generales'!$M$41+J117*'Factores generales'!$N$41,I117*'Factores generales'!$M$41+J117*'Factores generales'!$N$41)</f>
        <v>159026.76791845384</v>
      </c>
    </row>
    <row r="118" spans="1:15" outlineLevel="1" x14ac:dyDescent="0.25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177582.2666779834</v>
      </c>
      <c r="I118" s="134">
        <f t="shared" ref="I118:O118" si="31">I122</f>
        <v>16.849838973659999</v>
      </c>
      <c r="J118" s="134">
        <f t="shared" si="31"/>
        <v>4.8142397067599996</v>
      </c>
      <c r="K118" s="134">
        <f t="shared" si="31"/>
        <v>3610.6797800699997</v>
      </c>
      <c r="L118" s="134">
        <f t="shared" si="31"/>
        <v>2407.1198533799998</v>
      </c>
      <c r="M118" s="134">
        <f t="shared" si="31"/>
        <v>481.42397067599995</v>
      </c>
      <c r="N118" s="134">
        <f t="shared" si="31"/>
        <v>136.75436122960002</v>
      </c>
      <c r="O118" s="134">
        <f t="shared" si="31"/>
        <v>179428.52760552586</v>
      </c>
    </row>
    <row r="119" spans="1:15" outlineLevel="1" x14ac:dyDescent="0.25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2851713.3461871911</v>
      </c>
      <c r="I119" s="15">
        <f t="shared" ref="I119:O119" si="32">I120+I121</f>
        <v>263.00862836031001</v>
      </c>
      <c r="J119" s="15">
        <f t="shared" si="32"/>
        <v>75.145322388659991</v>
      </c>
      <c r="K119" s="15">
        <f t="shared" si="32"/>
        <v>56358.991791494998</v>
      </c>
      <c r="L119" s="15">
        <f t="shared" si="32"/>
        <v>37572.661194330001</v>
      </c>
      <c r="M119" s="15">
        <f t="shared" si="32"/>
        <v>7514.5322388660006</v>
      </c>
      <c r="N119" s="15">
        <f t="shared" si="32"/>
        <v>6087.1233909395996</v>
      </c>
      <c r="O119" s="15">
        <f t="shared" si="32"/>
        <v>2880531.5773232421</v>
      </c>
    </row>
    <row r="120" spans="1:15" outlineLevel="1" x14ac:dyDescent="0.25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Actividad'!$J116*'FE Sectorial'!$H119*'FE Sectorial'!I119*'FE Sectorial'!P119/1000</f>
        <v>613669.04099239176</v>
      </c>
      <c r="I120" s="17">
        <f>'Datos Actividad'!$J116*'FE Sectorial'!$H119*'FE Sectorial'!J119/1000/1000</f>
        <v>58.557004415910008</v>
      </c>
      <c r="J120" s="17">
        <f>'Datos Actividad'!$J116*'FE Sectorial'!$H119*'FE Sectorial'!K119/1000/1000</f>
        <v>16.730572690260004</v>
      </c>
      <c r="K120" s="17">
        <f>'Datos Actividad'!$J116*'FE Sectorial'!$H119*'FE Sectorial'!L119/1000/1000</f>
        <v>12547.929517695002</v>
      </c>
      <c r="L120" s="17">
        <f>'Datos Actividad'!$J116*'FE Sectorial'!$H119*'FE Sectorial'!M119/1000/1000</f>
        <v>8365.2863451300018</v>
      </c>
      <c r="M120" s="17">
        <f>'Datos Actividad'!$J116*'FE Sectorial'!$H119*'FE Sectorial'!N119/1000/1000</f>
        <v>1673.0572690260003</v>
      </c>
      <c r="N120" s="17">
        <f>'Datos Actividad'!$J116*'FE Sectorial'!$H119*'FE Sectorial'!O119/1000/1000</f>
        <v>303.48480693960005</v>
      </c>
      <c r="O120" s="87">
        <f>IF(D120&lt;400,H120+I120*'Factores generales'!$M$41+J120*'Factores generales'!$N$41,I120*'Factores generales'!$M$41+J120*'Factores generales'!$N$41)</f>
        <v>620085.21561910654</v>
      </c>
    </row>
    <row r="121" spans="1:15" outlineLevel="1" x14ac:dyDescent="0.25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Actividad'!$J117*'FE Sectorial'!$H120*'FE Sectorial'!I120*'FE Sectorial'!P120/1000</f>
        <v>2238044.3051947993</v>
      </c>
      <c r="I121" s="17">
        <f>'Datos Actividad'!$J117*'FE Sectorial'!$H120*'FE Sectorial'!J120/1000/1000</f>
        <v>204.45162394439998</v>
      </c>
      <c r="J121" s="17">
        <f>'Datos Actividad'!$J117*'FE Sectorial'!$H120*'FE Sectorial'!K120/1000/1000</f>
        <v>58.414749698399994</v>
      </c>
      <c r="K121" s="17">
        <f>'Datos Actividad'!$J117*'FE Sectorial'!$H120*'FE Sectorial'!L120/1000/1000</f>
        <v>43811.062273799995</v>
      </c>
      <c r="L121" s="17">
        <f>'Datos Actividad'!$J117*'FE Sectorial'!$H120*'FE Sectorial'!M120/1000/1000</f>
        <v>29207.374849199998</v>
      </c>
      <c r="M121" s="17">
        <f>'Datos Actividad'!$J117*'FE Sectorial'!$H120*'FE Sectorial'!N120/1000/1000</f>
        <v>5841.4749698400001</v>
      </c>
      <c r="N121" s="17">
        <f>'Datos Actividad'!$J117*'FE Sectorial'!$H120*'FE Sectorial'!O120/1000/1000</f>
        <v>5783.6385839999994</v>
      </c>
      <c r="O121" s="87">
        <f>IF(D121&lt;400,H121+I121*'Factores generales'!$M$41+J121*'Factores generales'!$N$41,I121*'Factores generales'!$M$41+J121*'Factores generales'!$N$41)</f>
        <v>2260446.3617041358</v>
      </c>
    </row>
    <row r="122" spans="1:15" outlineLevel="1" x14ac:dyDescent="0.25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177582.2666779834</v>
      </c>
      <c r="I122" s="15">
        <f t="shared" ref="I122:O122" si="33">I123+I124</f>
        <v>16.849838973659999</v>
      </c>
      <c r="J122" s="15">
        <f t="shared" si="33"/>
        <v>4.8142397067599996</v>
      </c>
      <c r="K122" s="15">
        <f t="shared" si="33"/>
        <v>3610.6797800699997</v>
      </c>
      <c r="L122" s="15">
        <f t="shared" si="33"/>
        <v>2407.1198533799998</v>
      </c>
      <c r="M122" s="15">
        <f t="shared" si="33"/>
        <v>481.42397067599995</v>
      </c>
      <c r="N122" s="15">
        <f t="shared" si="33"/>
        <v>136.75436122960002</v>
      </c>
      <c r="O122" s="15">
        <f t="shared" si="33"/>
        <v>179428.52760552586</v>
      </c>
    </row>
    <row r="123" spans="1:15" outlineLevel="1" x14ac:dyDescent="0.25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Actividad'!$J119*'FE Sectorial'!$H122*'FE Sectorial'!I122*'FE Sectorial'!P122/1000</f>
        <v>154166.15492334339</v>
      </c>
      <c r="I123" s="17">
        <f>'Datos Actividad'!$J119*'FE Sectorial'!$H122*'FE Sectorial'!J122/1000/1000</f>
        <v>14.710711493659998</v>
      </c>
      <c r="J123" s="17">
        <f>'Datos Actividad'!$J119*'FE Sectorial'!$H122*'FE Sectorial'!K122/1000/1000</f>
        <v>4.2030604267599996</v>
      </c>
      <c r="K123" s="17">
        <f>'Datos Actividad'!$J119*'FE Sectorial'!$H122*'FE Sectorial'!L122/1000/1000</f>
        <v>3152.2953200699994</v>
      </c>
      <c r="L123" s="17">
        <f>'Datos Actividad'!$J119*'FE Sectorial'!$H122*'FE Sectorial'!M122/1000/1000</f>
        <v>2101.5302133799996</v>
      </c>
      <c r="M123" s="17">
        <f>'Datos Actividad'!$J119*'FE Sectorial'!$H122*'FE Sectorial'!N122/1000/1000</f>
        <v>420.30604267599995</v>
      </c>
      <c r="N123" s="17">
        <f>'Datos Actividad'!$J119*'FE Sectorial'!$H122*'FE Sectorial'!O122/1000/1000</f>
        <v>76.241561229599995</v>
      </c>
      <c r="O123" s="87">
        <f>IF(D123&lt;400,H123+I123*'Factores generales'!$M$41+J123*'Factores generales'!$N$41,I123*'Factores generales'!$M$41+J123*'Factores generales'!$N$41)</f>
        <v>155778.02859700585</v>
      </c>
    </row>
    <row r="124" spans="1:15" outlineLevel="1" x14ac:dyDescent="0.25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Actividad'!$J120*'FE Sectorial'!$H123*'FE Sectorial'!I123*'FE Sectorial'!P123/1000</f>
        <v>23416.111754640002</v>
      </c>
      <c r="I124" s="17">
        <f>'Datos Actividad'!$J120*'FE Sectorial'!$H123*'FE Sectorial'!J123/1000/1000</f>
        <v>2.13912748</v>
      </c>
      <c r="J124" s="17">
        <f>'Datos Actividad'!$J120*'FE Sectorial'!$H123*'FE Sectorial'!K123/1000/1000</f>
        <v>0.6111792800000001</v>
      </c>
      <c r="K124" s="17">
        <f>'Datos Actividad'!$J120*'FE Sectorial'!$H123*'FE Sectorial'!L123/1000/1000</f>
        <v>458.38446000000005</v>
      </c>
      <c r="L124" s="17">
        <f>'Datos Actividad'!$J120*'FE Sectorial'!$H123*'FE Sectorial'!M123/1000/1000</f>
        <v>305.58964000000003</v>
      </c>
      <c r="M124" s="17">
        <f>'Datos Actividad'!$J120*'FE Sectorial'!$H123*'FE Sectorial'!N123/1000/1000</f>
        <v>61.117927999999999</v>
      </c>
      <c r="N124" s="17">
        <f>'Datos Actividad'!$J120*'FE Sectorial'!$H123*'FE Sectorial'!O123/1000/1000</f>
        <v>60.512800000000013</v>
      </c>
      <c r="O124" s="87">
        <f>IF(D124&lt;400,H124+I124*'Factores generales'!$M$41+J124*'Factores generales'!$N$41,I124*'Factores generales'!$M$41+J124*'Factores generales'!$N$41)</f>
        <v>23650.499008520004</v>
      </c>
    </row>
    <row r="125" spans="1:15" outlineLevel="1" x14ac:dyDescent="0.25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2716471.4875254002</v>
      </c>
      <c r="I125" s="134">
        <f t="shared" si="34"/>
        <v>48.667421400000002</v>
      </c>
      <c r="J125" s="134">
        <f t="shared" si="34"/>
        <v>4.8713009999999999</v>
      </c>
      <c r="K125" s="134">
        <f t="shared" si="34"/>
        <v>7296.3141599999999</v>
      </c>
      <c r="L125" s="134">
        <f t="shared" si="34"/>
        <v>972.66459899999984</v>
      </c>
      <c r="M125" s="134">
        <f t="shared" si="34"/>
        <v>243.18514499999998</v>
      </c>
      <c r="N125" s="134">
        <f t="shared" si="34"/>
        <v>0.55130400000000002</v>
      </c>
      <c r="O125" s="134">
        <f t="shared" si="34"/>
        <v>2719003.6066848002</v>
      </c>
    </row>
    <row r="126" spans="1:15" outlineLevel="1" x14ac:dyDescent="0.25">
      <c r="A126" s="10" t="s">
        <v>63</v>
      </c>
      <c r="B126" s="1" t="s">
        <v>64</v>
      </c>
      <c r="H126" s="15">
        <f t="shared" ref="H126:O126" si="35">H127+H128+H129</f>
        <v>2716471.4875254002</v>
      </c>
      <c r="I126" s="15">
        <f t="shared" si="35"/>
        <v>48.667421400000002</v>
      </c>
      <c r="J126" s="15">
        <f t="shared" si="35"/>
        <v>4.8713009999999999</v>
      </c>
      <c r="K126" s="15">
        <f t="shared" si="35"/>
        <v>7296.3141599999999</v>
      </c>
      <c r="L126" s="15">
        <f t="shared" si="35"/>
        <v>972.66459899999984</v>
      </c>
      <c r="M126" s="15">
        <f t="shared" si="35"/>
        <v>243.18514499999998</v>
      </c>
      <c r="N126" s="15">
        <f t="shared" si="35"/>
        <v>0.55130400000000002</v>
      </c>
      <c r="O126" s="15">
        <f t="shared" si="35"/>
        <v>2719003.6066848002</v>
      </c>
    </row>
    <row r="127" spans="1:15" outlineLevel="1" x14ac:dyDescent="0.25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Actividad'!$J123*'FE Sectorial'!$H126*'FE Sectorial'!I126*'FE Sectorial'!P126/1000</f>
        <v>2665040.6707056002</v>
      </c>
      <c r="I127" s="17">
        <f>'Datos Actividad'!$J123*'FE Sectorial'!$H126*'FE Sectorial'!J126/1000/1000</f>
        <v>47.743900799999999</v>
      </c>
      <c r="J127" s="17">
        <f>'Datos Actividad'!$J123*'FE Sectorial'!$H126*'FE Sectorial'!K126/1000/1000</f>
        <v>4.7743900799999999</v>
      </c>
      <c r="K127" s="17">
        <f>'Datos Actividad'!$J123*'FE Sectorial'!$H126*'FE Sectorial'!L126/1000/1000</f>
        <v>7161.5851199999997</v>
      </c>
      <c r="L127" s="17">
        <f>'Datos Actividad'!$J123*'FE Sectorial'!$H126*'FE Sectorial'!M126/1000/1000</f>
        <v>954.87801599999989</v>
      </c>
      <c r="M127" s="17">
        <f>'Datos Actividad'!$J123*'FE Sectorial'!$H126*'FE Sectorial'!N126/1000/1000</f>
        <v>238.71950399999997</v>
      </c>
      <c r="N127" s="17">
        <f>'Datos Actividad'!$J123*'FE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2667523.3535472001</v>
      </c>
    </row>
    <row r="128" spans="1:15" outlineLevel="1" x14ac:dyDescent="0.25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Actividad'!$J124*'FE Sectorial'!$H127*'FE Sectorial'!I127*'FE Sectorial'!P127/1000</f>
        <v>1114.7780358</v>
      </c>
      <c r="I128" s="17">
        <f>'Datos Actividad'!$J124*'FE Sectorial'!$H127*'FE Sectorial'!J127/1000/1000</f>
        <v>4.55886E-2</v>
      </c>
      <c r="J128" s="17">
        <f>'Datos Actividad'!$J124*'FE Sectorial'!$H127*'FE Sectorial'!K127/1000/1000</f>
        <v>9.1177199999999993E-3</v>
      </c>
      <c r="K128" s="17">
        <f>'Datos Actividad'!$J124*'FE Sectorial'!$H127*'FE Sectorial'!L127/1000/1000</f>
        <v>3.0392399999999999</v>
      </c>
      <c r="L128" s="17">
        <f>'Datos Actividad'!$J124*'FE Sectorial'!$H127*'FE Sectorial'!M127/1000/1000</f>
        <v>0.22794299999999998</v>
      </c>
      <c r="M128" s="17">
        <f>'Datos Actividad'!$J124*'FE Sectorial'!$H127*'FE Sectorial'!N127/1000/1000</f>
        <v>7.5980999999999993E-2</v>
      </c>
      <c r="N128" s="17">
        <f>'Datos Actividad'!$J124*'FE Sectorial'!$H127*'FE Sectorial'!O127/1000/1000</f>
        <v>0.55130400000000002</v>
      </c>
      <c r="O128" s="87">
        <f>IF(D128&lt;400,H128+I128*'Factores generales'!$M$41+J128*'Factores generales'!$N$41,I128*'Factores generales'!$M$41+J128*'Factores generales'!$N$41)</f>
        <v>1118.5618895999999</v>
      </c>
    </row>
    <row r="129" spans="1:15" outlineLevel="1" x14ac:dyDescent="0.25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Actividad'!$J125*'FE Sectorial'!$H128*'FE Sectorial'!I128*'FE Sectorial'!P128/1000</f>
        <v>50316.038784000004</v>
      </c>
      <c r="I129" s="17">
        <f>'Datos Actividad'!$J125*'FE Sectorial'!$H128*'FE Sectorial'!J128/1000/1000</f>
        <v>0.87793200000000005</v>
      </c>
      <c r="J129" s="17">
        <f>'Datos Actividad'!$J125*'FE Sectorial'!$H128*'FE Sectorial'!K128/1000/1000</f>
        <v>8.7793200000000016E-2</v>
      </c>
      <c r="K129" s="17">
        <f>'Datos Actividad'!$J125*'FE Sectorial'!$H128*'FE Sectorial'!L128/1000/1000</f>
        <v>131.68979999999999</v>
      </c>
      <c r="L129" s="17">
        <f>'Datos Actividad'!$J125*'FE Sectorial'!$H128*'FE Sectorial'!M128/1000/1000</f>
        <v>17.55864</v>
      </c>
      <c r="M129" s="17">
        <f>'Datos Actividad'!$J125*'FE Sectorial'!$H128*'FE Sectorial'!N128/1000/1000</f>
        <v>4.3896600000000001</v>
      </c>
      <c r="N129" s="17">
        <f>'Datos Actividad'!$J125*'FE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50361.691248000003</v>
      </c>
    </row>
    <row r="130" spans="1:15" outlineLevel="1" x14ac:dyDescent="0.25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 x14ac:dyDescent="0.2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39843237.060047597</v>
      </c>
      <c r="I131" s="129">
        <f t="shared" si="36"/>
        <v>3352.2870100844134</v>
      </c>
      <c r="J131" s="129">
        <f t="shared" si="36"/>
        <v>228.99302215239106</v>
      </c>
      <c r="K131" s="129">
        <f t="shared" si="36"/>
        <v>287153.79790170502</v>
      </c>
      <c r="L131" s="129">
        <f t="shared" si="36"/>
        <v>302248.14802303188</v>
      </c>
      <c r="M131" s="129">
        <f t="shared" si="36"/>
        <v>42441.364553120089</v>
      </c>
      <c r="N131" s="129">
        <f t="shared" si="36"/>
        <v>12278.565200545916</v>
      </c>
      <c r="O131" s="129">
        <f t="shared" si="36"/>
        <v>39984622.924126618</v>
      </c>
    </row>
    <row r="132" spans="1:15" outlineLevel="1" x14ac:dyDescent="0.25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4495095.5965080326</v>
      </c>
      <c r="I132" s="134">
        <f>SUM(I133:I137)</f>
        <v>163.17329950590442</v>
      </c>
      <c r="J132" s="134">
        <f t="shared" ref="J132:O132" si="37">SUM(J133:J137)</f>
        <v>21.879128058827426</v>
      </c>
      <c r="K132" s="134">
        <f t="shared" si="37"/>
        <v>10969.491335841072</v>
      </c>
      <c r="L132" s="134">
        <f t="shared" si="37"/>
        <v>14285.595939986733</v>
      </c>
      <c r="M132" s="134">
        <f t="shared" si="37"/>
        <v>1679.5167055158256</v>
      </c>
      <c r="N132" s="134">
        <f t="shared" si="37"/>
        <v>2389.8643930066182</v>
      </c>
      <c r="O132" s="134">
        <f t="shared" si="37"/>
        <v>4505304.7654958945</v>
      </c>
    </row>
    <row r="133" spans="1:15" outlineLevel="1" x14ac:dyDescent="0.25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Actividad'!$J129*'FE Sectorial'!$H132*'FE Sectorial'!I132*'FE Sectorial'!P132/1000</f>
        <v>211487.1652173913</v>
      </c>
      <c r="I133" s="17">
        <f>'Datos Actividad'!$J129*'FE Sectorial'!$H132*'FE Sectorial'!J132/1000/1000</f>
        <v>65.113043478260877</v>
      </c>
      <c r="J133" s="17">
        <f>'Datos Actividad'!$J129*'FE Sectorial'!$H132*'FE Sectorial'!K132/1000/1000</f>
        <v>8.6817391304347833</v>
      </c>
      <c r="K133" s="17">
        <f>'Datos Actividad'!$J129*'FE Sectorial'!$H132*'FE Sectorial'!L132/1000/1000</f>
        <v>217.04347826086959</v>
      </c>
      <c r="L133" s="17">
        <f>'Datos Actividad'!$J129*'FE Sectorial'!$H132*'FE Sectorial'!M132/1000/1000</f>
        <v>10852.17391304348</v>
      </c>
      <c r="M133" s="17">
        <f>'Datos Actividad'!$J129*'FE Sectorial'!$H132*'FE Sectorial'!N132/1000/1000</f>
        <v>1302.2608695652175</v>
      </c>
      <c r="N133" s="17">
        <f>'Datos Actividad'!$J129*'FE Sectorial'!$H132*'FE Sectorial'!O132/1000/1000</f>
        <v>556.52173913043487</v>
      </c>
      <c r="O133" s="87">
        <f>IF(D133&lt;400,H133+I133*'Factores generales'!$M$41+J133*'Factores generales'!$N$41,I133*'Factores generales'!$M$41+J133*'Factores generales'!$N$41)</f>
        <v>4058.7130434782612</v>
      </c>
    </row>
    <row r="134" spans="1:15" outlineLevel="1" x14ac:dyDescent="0.25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Actividad'!$J130*'FE Sectorial'!$H133*'FE Sectorial'!I133*'FE Sectorial'!P133/1000</f>
        <v>3100803.9096489837</v>
      </c>
      <c r="I134" s="17">
        <f>'Datos Actividad'!$J130*'FE Sectorial'!$H133*'FE Sectorial'!J133/1000/1000</f>
        <v>55.550549711999999</v>
      </c>
      <c r="J134" s="17">
        <f>'Datos Actividad'!$J130*'FE Sectorial'!$H133*'FE Sectorial'!K133/1000/1000</f>
        <v>5.5550549712000006</v>
      </c>
      <c r="K134" s="17">
        <f>'Datos Actividad'!$J130*'FE Sectorial'!$H133*'FE Sectorial'!L133/1000/1000</f>
        <v>8332.5824567999989</v>
      </c>
      <c r="L134" s="17">
        <f>'Datos Actividad'!$J130*'FE Sectorial'!$H133*'FE Sectorial'!M133/1000/1000</f>
        <v>2777.5274855999996</v>
      </c>
      <c r="M134" s="17">
        <f>'Datos Actividad'!$J130*'FE Sectorial'!$H133*'FE Sectorial'!N133/1000/1000</f>
        <v>277.75274855999999</v>
      </c>
      <c r="N134" s="17">
        <f>'Datos Actividad'!$J130*'FE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3103692.538234008</v>
      </c>
    </row>
    <row r="135" spans="1:15" outlineLevel="1" x14ac:dyDescent="0.25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Actividad'!$J131*'FE Sectorial'!$H134*'FE Sectorial'!I134*'FE Sectorial'!P134/1000</f>
        <v>536988.08794520563</v>
      </c>
      <c r="I135" s="17">
        <f>'Datos Actividad'!$J131*'FE Sectorial'!$H134*'FE Sectorial'!J134/1000/1000</f>
        <v>8.596073059360732</v>
      </c>
      <c r="J135" s="17">
        <f>'Datos Actividad'!$J131*'FE Sectorial'!$H134*'FE Sectorial'!K134/1000/1000</f>
        <v>0.85960730593607315</v>
      </c>
      <c r="K135" s="17">
        <f>'Datos Actividad'!$J131*'FE Sectorial'!$H134*'FE Sectorial'!L134/1000/1000</f>
        <v>1289.4109589041097</v>
      </c>
      <c r="L135" s="17">
        <f>'Datos Actividad'!$J131*'FE Sectorial'!$H134*'FE Sectorial'!M134/1000/1000</f>
        <v>429.8036529680366</v>
      </c>
      <c r="M135" s="17">
        <f>'Datos Actividad'!$J131*'FE Sectorial'!$H134*'FE Sectorial'!N134/1000/1000</f>
        <v>42.980365296803654</v>
      </c>
      <c r="N135" s="17">
        <f>'Datos Actividad'!$J131*'FE Sectorial'!$H134*'FE Sectorial'!O134/1000/1000</f>
        <v>36.347031963470336</v>
      </c>
      <c r="O135" s="87">
        <f>IF(D135&lt;400,H135+I135*'Factores generales'!$M$41+J135*'Factores generales'!$N$41,I135*'Factores generales'!$M$41+J135*'Factores generales'!$N$41)</f>
        <v>537435.08374429238</v>
      </c>
    </row>
    <row r="136" spans="1:15" outlineLevel="1" x14ac:dyDescent="0.25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Actividad'!$J132*'FE Sectorial'!$H135*'FE Sectorial'!I135*'FE Sectorial'!P135/1000</f>
        <v>200259.10585261893</v>
      </c>
      <c r="I136" s="17">
        <f>'Datos Actividad'!$J132*'FE Sectorial'!$H135*'FE Sectorial'!J135/1000/1000</f>
        <v>8.1895516236297787</v>
      </c>
      <c r="J136" s="17">
        <f>'Datos Actividad'!$J132*'FE Sectorial'!$H135*'FE Sectorial'!K135/1000/1000</f>
        <v>1.6379103247259554</v>
      </c>
      <c r="K136" s="17">
        <f>'Datos Actividad'!$J132*'FE Sectorial'!$H135*'FE Sectorial'!L135/1000/1000</f>
        <v>272.98505412099263</v>
      </c>
      <c r="L136" s="17">
        <f>'Datos Actividad'!$J132*'FE Sectorial'!$H135*'FE Sectorial'!M135/1000/1000</f>
        <v>54.597010824198513</v>
      </c>
      <c r="M136" s="17">
        <f>'Datos Actividad'!$J132*'FE Sectorial'!$H135*'FE Sectorial'!N135/1000/1000</f>
        <v>13.649252706049628</v>
      </c>
      <c r="N136" s="17">
        <f>'Datos Actividad'!$J132*'FE Sectorial'!$H135*'FE Sectorial'!O135/1000/1000</f>
        <v>99.036438239243822</v>
      </c>
      <c r="O136" s="87">
        <f>IF(D136&lt;400,H136+I136*'Factores generales'!$M$41+J136*'Factores generales'!$N$41,I136*'Factores generales'!$M$41+J136*'Factores generales'!$N$41)</f>
        <v>200938.83863738019</v>
      </c>
    </row>
    <row r="137" spans="1:15" outlineLevel="1" x14ac:dyDescent="0.25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Actividad'!$J133*'FE Sectorial'!$H136*'FE Sectorial'!I136*'FE Sectorial'!P136/1000</f>
        <v>657044.49306122446</v>
      </c>
      <c r="I137" s="17">
        <f>'Datos Actividad'!$J133*'FE Sectorial'!$H136*'FE Sectorial'!J136/1000/1000</f>
        <v>25.724081632653057</v>
      </c>
      <c r="J137" s="17">
        <f>'Datos Actividad'!$J133*'FE Sectorial'!$H136*'FE Sectorial'!K136/1000/1000</f>
        <v>5.1448163265306111</v>
      </c>
      <c r="K137" s="17">
        <f>'Datos Actividad'!$J133*'FE Sectorial'!$H136*'FE Sectorial'!L136/1000/1000</f>
        <v>857.46938775510193</v>
      </c>
      <c r="L137" s="17">
        <f>'Datos Actividad'!$J133*'FE Sectorial'!$H136*'FE Sectorial'!M136/1000/1000</f>
        <v>171.49387755102038</v>
      </c>
      <c r="M137" s="17">
        <f>'Datos Actividad'!$J133*'FE Sectorial'!$H136*'FE Sectorial'!N136/1000/1000</f>
        <v>42.873469387755094</v>
      </c>
      <c r="N137" s="17">
        <f>'Datos Actividad'!$J133*'FE Sectorial'!$H136*'FE Sectorial'!O136/1000/1000</f>
        <v>1697.9591836734694</v>
      </c>
      <c r="O137" s="87">
        <f>IF(D137&lt;400,H137+I137*'Factores generales'!$M$41+J137*'Factores generales'!$N$41,I137*'Factores generales'!$M$41+J137*'Factores generales'!$N$41)</f>
        <v>659179.59183673467</v>
      </c>
    </row>
    <row r="138" spans="1:15" outlineLevel="1" x14ac:dyDescent="0.25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21763030.431000076</v>
      </c>
      <c r="I138" s="134">
        <f>SUM(I139:I144)</f>
        <v>2640.4415192894053</v>
      </c>
      <c r="J138" s="134">
        <f t="shared" ref="J138:O138" si="38">SUM(J139:J144)</f>
        <v>97.737985516108125</v>
      </c>
      <c r="K138" s="134">
        <f t="shared" si="38"/>
        <v>57611.754251135593</v>
      </c>
      <c r="L138" s="134">
        <f t="shared" si="38"/>
        <v>106087.65574771214</v>
      </c>
      <c r="M138" s="134">
        <f t="shared" si="38"/>
        <v>4404.795064555934</v>
      </c>
      <c r="N138" s="134">
        <f t="shared" si="38"/>
        <v>1463.6710478382302</v>
      </c>
      <c r="O138" s="134">
        <f t="shared" si="38"/>
        <v>21848778.47841515</v>
      </c>
    </row>
    <row r="139" spans="1:15" outlineLevel="1" x14ac:dyDescent="0.25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Actividad'!$J135*'FE Sectorial'!$H138*'FE Sectorial'!I138*'FE Sectorial'!P138/1000</f>
        <v>231314.08695652173</v>
      </c>
      <c r="I139" s="17">
        <f>'Datos Actividad'!$J135*'FE Sectorial'!$H138*'FE Sectorial'!J138/1000/1000</f>
        <v>71.217391304347828</v>
      </c>
      <c r="J139" s="17">
        <f>'Datos Actividad'!$J135*'FE Sectorial'!$H138*'FE Sectorial'!K138/1000/1000</f>
        <v>9.4956521739130419</v>
      </c>
      <c r="K139" s="17">
        <f>'Datos Actividad'!$J135*'FE Sectorial'!$H138*'FE Sectorial'!L138/1000/1000</f>
        <v>237.39130434782606</v>
      </c>
      <c r="L139" s="17">
        <f>'Datos Actividad'!$J135*'FE Sectorial'!$H138*'FE Sectorial'!M138/1000/1000</f>
        <v>11869.565217391304</v>
      </c>
      <c r="M139" s="17">
        <f>'Datos Actividad'!$J135*'FE Sectorial'!$H138*'FE Sectorial'!N138/1000/1000</f>
        <v>1424.3478260869565</v>
      </c>
      <c r="N139" s="17">
        <f>'Datos Actividad'!$J135*'FE Sectorial'!$H138*'FE Sectorial'!O138/1000/1000</f>
        <v>608.695652173913</v>
      </c>
      <c r="O139" s="87">
        <f>IF(D139&lt;400,H139+I139*'Factores generales'!$M$41+J139*'Factores generales'!$N$41,I139*'Factores generales'!$M$41+J139*'Factores generales'!$N$41)</f>
        <v>4439.217391304348</v>
      </c>
    </row>
    <row r="140" spans="1:15" outlineLevel="1" x14ac:dyDescent="0.25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Actividad'!$J136*'FE Sectorial'!$H139*'FE Sectorial'!I139*'FE Sectorial'!P139/1000</f>
        <v>0</v>
      </c>
      <c r="I140" s="17">
        <f>'Datos Actividad'!$J136*'FE Sectorial'!$H139*'FE Sectorial'!J139/1000/1000</f>
        <v>0</v>
      </c>
      <c r="J140" s="17">
        <f>'Datos Actividad'!$J136*'FE Sectorial'!$H139*'FE Sectorial'!K139/1000/1000</f>
        <v>0</v>
      </c>
      <c r="K140" s="17">
        <f>'Datos Actividad'!$J136*'FE Sectorial'!$H139*'FE Sectorial'!L139/1000/1000</f>
        <v>0</v>
      </c>
      <c r="L140" s="17">
        <f>'Datos Actividad'!$J136*'FE Sectorial'!$H139*'FE Sectorial'!M139/1000/1000</f>
        <v>0</v>
      </c>
      <c r="M140" s="17">
        <f>'Datos Actividad'!$J136*'FE Sectorial'!$H139*'FE Sectorial'!N139/1000/1000</f>
        <v>0</v>
      </c>
      <c r="N140" s="17">
        <f>'Datos Actividad'!$J136*'FE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 x14ac:dyDescent="0.25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Actividad'!$J137*'FE Sectorial'!$H140*'FE Sectorial'!I140*'FE Sectorial'!P140/1000</f>
        <v>17547033.099445347</v>
      </c>
      <c r="I141" s="17">
        <f>'Datos Actividad'!$J137*'FE Sectorial'!$H140*'FE Sectorial'!J140/1000/1000</f>
        <v>314.35310419200005</v>
      </c>
      <c r="J141" s="17">
        <f>'Datos Actividad'!$J137*'FE Sectorial'!$H140*'FE Sectorial'!K140/1000/1000</f>
        <v>31.435310419200004</v>
      </c>
      <c r="K141" s="17">
        <f>'Datos Actividad'!$J137*'FE Sectorial'!$H140*'FE Sectorial'!L140/1000/1000</f>
        <v>47152.965628800004</v>
      </c>
      <c r="L141" s="17">
        <f>'Datos Actividad'!$J137*'FE Sectorial'!$H140*'FE Sectorial'!M140/1000/1000</f>
        <v>15717.655209600001</v>
      </c>
      <c r="M141" s="17">
        <f>'Datos Actividad'!$J137*'FE Sectorial'!$H140*'FE Sectorial'!N140/1000/1000</f>
        <v>1571.76552096</v>
      </c>
      <c r="N141" s="17">
        <f>'Datos Actividad'!$J137*'FE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17563379.460863333</v>
      </c>
    </row>
    <row r="142" spans="1:15" outlineLevel="1" x14ac:dyDescent="0.25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Actividad'!$J138*'FE Sectorial'!$H141*'FE Sectorial'!I141*'FE Sectorial'!P141/1000</f>
        <v>3221928.5276712328</v>
      </c>
      <c r="I142" s="17">
        <f>'Datos Actividad'!$J138*'FE Sectorial'!$H141*'FE Sectorial'!J141/1000/1000</f>
        <v>51.576438356164381</v>
      </c>
      <c r="J142" s="17">
        <f>'Datos Actividad'!$J138*'FE Sectorial'!$H141*'FE Sectorial'!K141/1000/1000</f>
        <v>5.1576438356164394</v>
      </c>
      <c r="K142" s="17">
        <f>'Datos Actividad'!$J138*'FE Sectorial'!$H141*'FE Sectorial'!L141/1000/1000</f>
        <v>7736.4657534246562</v>
      </c>
      <c r="L142" s="17">
        <f>'Datos Actividad'!$J138*'FE Sectorial'!$H141*'FE Sectorial'!M141/1000/1000</f>
        <v>2578.821917808219</v>
      </c>
      <c r="M142" s="17">
        <f>'Datos Actividad'!$J138*'FE Sectorial'!$H141*'FE Sectorial'!N141/1000/1000</f>
        <v>257.88219178082193</v>
      </c>
      <c r="N142" s="17">
        <f>'Datos Actividad'!$J138*'FE Sectorial'!$H141*'FE Sectorial'!O141/1000/1000</f>
        <v>218.08219178082194</v>
      </c>
      <c r="O142" s="87">
        <f>IF(D142&lt;400,H142+I142*'Factores generales'!$M$41+J142*'Factores generales'!$N$41,I142*'Factores generales'!$M$41+J142*'Factores generales'!$N$41)</f>
        <v>3224610.5024657534</v>
      </c>
    </row>
    <row r="143" spans="1:15" outlineLevel="1" x14ac:dyDescent="0.25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Actividad'!$J139*'FE Sectorial'!$H142*'FE Sectorial'!I142*'FE Sectorial'!P142/1000</f>
        <v>994068.80388349527</v>
      </c>
      <c r="I143" s="17">
        <f>'Datos Actividad'!$J139*'FE Sectorial'!$H142*'FE Sectorial'!J142/1000/1000</f>
        <v>42.13048543689321</v>
      </c>
      <c r="J143" s="17">
        <f>'Datos Actividad'!$J139*'FE Sectorial'!$H142*'FE Sectorial'!K142/1000/1000</f>
        <v>8.4260970873786416</v>
      </c>
      <c r="K143" s="17">
        <f>'Datos Actividad'!$J139*'FE Sectorial'!$H142*'FE Sectorial'!L142/1000/1000</f>
        <v>1404.3495145631068</v>
      </c>
      <c r="L143" s="17">
        <f>'Datos Actividad'!$J139*'FE Sectorial'!$H142*'FE Sectorial'!M142/1000/1000</f>
        <v>280.8699029126214</v>
      </c>
      <c r="M143" s="17">
        <f>'Datos Actividad'!$J139*'FE Sectorial'!$H142*'FE Sectorial'!N142/1000/1000</f>
        <v>70.21747572815535</v>
      </c>
      <c r="N143" s="17">
        <f>'Datos Actividad'!$J139*'FE Sectorial'!$H142*'FE Sectorial'!O142/1000/1000</f>
        <v>636.89320388349518</v>
      </c>
      <c r="O143" s="87">
        <f>IF(D143&lt;400,H143+I143*'Factores generales'!$M$41+J143*'Factores generales'!$N$41,I143*'Factores generales'!$M$41+J143*'Factores generales'!$N$41)</f>
        <v>997565.63417475752</v>
      </c>
    </row>
    <row r="144" spans="1:15" outlineLevel="1" x14ac:dyDescent="0.25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Actividad'!$J140*'FE Sectorial'!$H143*'FE Sectorial'!I143*'FE Sectorial'!P143/1000</f>
        <v>1052919.14952</v>
      </c>
      <c r="I144" s="17">
        <f>'Datos Actividad'!$J140*'FE Sectorial'!$H143*'FE Sectorial'!J143/1000/1000</f>
        <v>2161.1641</v>
      </c>
      <c r="J144" s="17">
        <f>'Datos Actividad'!$J140*'FE Sectorial'!$H143*'FE Sectorial'!K143/1000/1000</f>
        <v>43.223281999999998</v>
      </c>
      <c r="K144" s="17">
        <f>'Datos Actividad'!$J140*'FE Sectorial'!$H143*'FE Sectorial'!L143/1000/1000</f>
        <v>1080.58205</v>
      </c>
      <c r="L144" s="17">
        <f>'Datos Actividad'!$J140*'FE Sectorial'!$H143*'FE Sectorial'!M143/1000/1000</f>
        <v>75640.743499999997</v>
      </c>
      <c r="M144" s="17">
        <f>'Datos Actividad'!$J140*'FE Sectorial'!$H143*'FE Sectorial'!N143/1000/1000</f>
        <v>1080.58205</v>
      </c>
      <c r="N144" s="17">
        <f>'Datos Actividad'!$J140*'FE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58783.663520000002</v>
      </c>
    </row>
    <row r="145" spans="1:15" outlineLevel="1" x14ac:dyDescent="0.25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13585111.032539489</v>
      </c>
      <c r="I145" s="134">
        <f t="shared" ref="I145:O145" si="39">SUM(I146:I149)</f>
        <v>548.67219128910403</v>
      </c>
      <c r="J145" s="134">
        <f t="shared" si="39"/>
        <v>109.3759085774555</v>
      </c>
      <c r="K145" s="134">
        <f t="shared" si="39"/>
        <v>218572.55231472838</v>
      </c>
      <c r="L145" s="134">
        <f t="shared" si="39"/>
        <v>181874.896335333</v>
      </c>
      <c r="M145" s="134">
        <f t="shared" si="39"/>
        <v>36357.052783048333</v>
      </c>
      <c r="N145" s="134">
        <f t="shared" si="39"/>
        <v>8425.0297597010685</v>
      </c>
      <c r="O145" s="134">
        <f t="shared" si="39"/>
        <v>13630539.680215573</v>
      </c>
    </row>
    <row r="146" spans="1:15" outlineLevel="1" x14ac:dyDescent="0.25">
      <c r="D146" s="82">
        <v>208</v>
      </c>
      <c r="E146" s="11" t="s">
        <v>98</v>
      </c>
      <c r="F146" s="11" t="s">
        <v>255</v>
      </c>
      <c r="H146" s="17">
        <f>'Datos Actividad'!$J142*'FE Sectorial'!$H145*'FE Sectorial'!I145*'FE Sectorial'!P145/1000</f>
        <v>223969.90602739726</v>
      </c>
      <c r="I146" s="17">
        <f>'Datos Actividad'!$J142*'FE Sectorial'!$H145*'FE Sectorial'!J145/1000/1000</f>
        <v>3.5852968036529678</v>
      </c>
      <c r="J146" s="17">
        <f>'Datos Actividad'!$J142*'FE Sectorial'!$H145*'FE Sectorial'!K145/1000/1000</f>
        <v>0.35852968036529675</v>
      </c>
      <c r="K146" s="17">
        <f>'Datos Actividad'!$J142*'FE Sectorial'!$H145*'FE Sectorial'!L145/1000/1000</f>
        <v>537.79452054794513</v>
      </c>
      <c r="L146" s="17">
        <f>'Datos Actividad'!$J142*'FE Sectorial'!$H145*'FE Sectorial'!M145/1000/1000</f>
        <v>179.26484018264838</v>
      </c>
      <c r="M146" s="17">
        <f>'Datos Actividad'!$J142*'FE Sectorial'!$H145*'FE Sectorial'!N145/1000/1000</f>
        <v>17.926484018264837</v>
      </c>
      <c r="N146" s="17">
        <f>'Datos Actividad'!$J142*'FE Sectorial'!$H145*'FE Sectorial'!O145/1000/1000</f>
        <v>15.159817351598175</v>
      </c>
      <c r="O146" s="87">
        <f>IF(D146&lt;400,H146+I146*'Factores generales'!$M$41+J146*'Factores generales'!$N$41,I146*'Factores generales'!$M$41+J146*'Factores generales'!$N$41)</f>
        <v>224156.3414611872</v>
      </c>
    </row>
    <row r="147" spans="1:15" outlineLevel="1" x14ac:dyDescent="0.25">
      <c r="D147" s="82">
        <v>209</v>
      </c>
      <c r="E147" s="11" t="s">
        <v>98</v>
      </c>
      <c r="F147" t="s">
        <v>268</v>
      </c>
      <c r="H147" s="17">
        <f>'Datos Actividad'!$J143*'FE Sectorial'!$H146*'FE Sectorial'!I146*'FE Sectorial'!P146/1000</f>
        <v>76661.072132337402</v>
      </c>
      <c r="I147" s="17">
        <f>'Datos Actividad'!$J143*'FE Sectorial'!$H146*'FE Sectorial'!J146/1000/1000</f>
        <v>3.3521829608788059</v>
      </c>
      <c r="J147" s="17">
        <f>'Datos Actividad'!$J143*'FE Sectorial'!$H146*'FE Sectorial'!K146/1000/1000</f>
        <v>0.67043659217576113</v>
      </c>
      <c r="K147" s="17">
        <f>'Datos Actividad'!$J143*'FE Sectorial'!$H146*'FE Sectorial'!L146/1000/1000</f>
        <v>1340.8731843515222</v>
      </c>
      <c r="L147" s="17">
        <f>'Datos Actividad'!$J143*'FE Sectorial'!$H146*'FE Sectorial'!M146/1000/1000</f>
        <v>1117.3943202929352</v>
      </c>
      <c r="M147" s="17">
        <f>'Datos Actividad'!$J143*'FE Sectorial'!$H146*'FE Sectorial'!N146/1000/1000</f>
        <v>223.47886405858702</v>
      </c>
      <c r="N147" s="17">
        <f>'Datos Actividad'!$J143*'FE Sectorial'!$H146*'FE Sectorial'!O146/1000/1000</f>
        <v>5.0446696175753285</v>
      </c>
      <c r="O147" s="87">
        <f>IF(D147&lt;400,H147+I147*'Factores generales'!$M$41+J147*'Factores generales'!$N$41,I147*'Factores generales'!$M$41+J147*'Factores generales'!$N$41)</f>
        <v>76939.303318090329</v>
      </c>
    </row>
    <row r="148" spans="1:15" outlineLevel="1" x14ac:dyDescent="0.25">
      <c r="D148" s="82">
        <v>206</v>
      </c>
      <c r="E148" s="11" t="s">
        <v>98</v>
      </c>
      <c r="F148" s="11" t="s">
        <v>249</v>
      </c>
      <c r="H148" s="17">
        <f>'Datos Actividad'!$J144*'FE Sectorial'!$H147*'FE Sectorial'!I147*'FE Sectorial'!P147/1000</f>
        <v>12406314.818461386</v>
      </c>
      <c r="I148" s="17">
        <f>'Datos Actividad'!$J144*'FE Sectorial'!$H147*'FE Sectorial'!J147/1000/1000</f>
        <v>507.35348703477632</v>
      </c>
      <c r="J148" s="17">
        <f>'Datos Actividad'!$J144*'FE Sectorial'!$H147*'FE Sectorial'!K147/1000/1000</f>
        <v>101.47069740695527</v>
      </c>
      <c r="K148" s="17">
        <f>'Datos Actividad'!$J144*'FE Sectorial'!$H147*'FE Sectorial'!L147/1000/1000</f>
        <v>202941.39481391053</v>
      </c>
      <c r="L148" s="17">
        <f>'Datos Actividad'!$J144*'FE Sectorial'!$H147*'FE Sectorial'!M147/1000/1000</f>
        <v>169117.82901159211</v>
      </c>
      <c r="M148" s="17">
        <f>'Datos Actividad'!$J144*'FE Sectorial'!$H147*'FE Sectorial'!N147/1000/1000</f>
        <v>33823.565802318422</v>
      </c>
      <c r="N148" s="17">
        <f>'Datos Actividad'!$J144*'FE Sectorial'!$H147*'FE Sectorial'!O147/1000/1000</f>
        <v>6135.4375176298545</v>
      </c>
      <c r="O148" s="87">
        <f>IF(D148&lt;400,H148+I148*'Factores generales'!$M$41+J148*'Factores generales'!$N$41,I148*'Factores generales'!$M$41+J148*'Factores generales'!$N$41)</f>
        <v>12448425.157885274</v>
      </c>
    </row>
    <row r="149" spans="1:15" outlineLevel="1" x14ac:dyDescent="0.25">
      <c r="D149" s="82">
        <v>207</v>
      </c>
      <c r="E149" s="11" t="s">
        <v>98</v>
      </c>
      <c r="F149" s="11" t="s">
        <v>250</v>
      </c>
      <c r="H149" s="17">
        <f>'Datos Actividad'!$J145*'FE Sectorial'!$H148*'FE Sectorial'!I148*'FE Sectorial'!P148/1000</f>
        <v>878165.23591836728</v>
      </c>
      <c r="I149" s="17">
        <f>'Datos Actividad'!$J145*'FE Sectorial'!$H148*'FE Sectorial'!J148/1000/1000</f>
        <v>34.381224489795919</v>
      </c>
      <c r="J149" s="17">
        <f>'Datos Actividad'!$J145*'FE Sectorial'!$H148*'FE Sectorial'!K148/1000/1000</f>
        <v>6.8762448979591824</v>
      </c>
      <c r="K149" s="17">
        <f>'Datos Actividad'!$J145*'FE Sectorial'!$H148*'FE Sectorial'!L148/1000/1000</f>
        <v>13752.489795918365</v>
      </c>
      <c r="L149" s="17">
        <f>'Datos Actividad'!$J145*'FE Sectorial'!$H148*'FE Sectorial'!M148/1000/1000</f>
        <v>11460.408163265305</v>
      </c>
      <c r="M149" s="17">
        <f>'Datos Actividad'!$J145*'FE Sectorial'!$H148*'FE Sectorial'!N148/1000/1000</f>
        <v>2292.0816326530608</v>
      </c>
      <c r="N149" s="17">
        <f>'Datos Actividad'!$J145*'FE Sectorial'!$H148*'FE Sectorial'!O148/1000/1000</f>
        <v>2269.3877551020405</v>
      </c>
      <c r="O149" s="87">
        <f>IF(D149&lt;400,H149+I149*'Factores generales'!$M$41+J149*'Factores generales'!$N$41,I149*'Factores generales'!$M$41+J149*'Factores generales'!$N$41)</f>
        <v>881018.87755102036</v>
      </c>
    </row>
    <row r="150" spans="1:15" x14ac:dyDescent="0.2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 x14ac:dyDescent="0.25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Actividad'!$J147*'FE Sectorial'!$H150*'FE Sectorial'!I150*'FE Sectorial'!P150/1000</f>
        <v>0</v>
      </c>
      <c r="I151" s="134">
        <f>'Datos Actividad'!$J147*'FE Sectorial'!$H150*'FE Sectorial'!J150/1000/1000</f>
        <v>0</v>
      </c>
      <c r="J151" s="134">
        <f>'Datos Actividad'!$J147*'FE Sectorial'!$H150*'FE Sectorial'!K150/1000/1000</f>
        <v>0</v>
      </c>
      <c r="K151" s="134">
        <f>'Datos Actividad'!$J147*'FE Sectorial'!$H150*'FE Sectorial'!L150/1000/1000</f>
        <v>0</v>
      </c>
      <c r="L151" s="134">
        <f>'Datos Actividad'!$J147*'FE Sectorial'!$H150*'FE Sectorial'!M150/1000/1000</f>
        <v>0</v>
      </c>
      <c r="M151" s="134">
        <f>'Datos Actividad'!$J147*'FE Sectorial'!$H150*'FE Sectorial'!N150/1000/1000</f>
        <v>0</v>
      </c>
      <c r="N151" s="134">
        <f>'Datos Actividad'!$J147*'FE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 x14ac:dyDescent="0.25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Actividad'!$J148*'FE Sectorial'!$H151*'FE Sectorial'!I151*'FE Sectorial'!P151/1000</f>
        <v>0</v>
      </c>
      <c r="I152" s="134">
        <f>'Datos Actividad'!$J148*'FE Sectorial'!$H151*'FE Sectorial'!J151/1000/1000</f>
        <v>0</v>
      </c>
      <c r="J152" s="134">
        <f>'Datos Actividad'!$J148*'FE Sectorial'!$H151*'FE Sectorial'!K151/1000/1000</f>
        <v>0</v>
      </c>
      <c r="K152" s="134">
        <f>'Datos Actividad'!$J148*'FE Sectorial'!$H151*'FE Sectorial'!L151/1000/1000</f>
        <v>0</v>
      </c>
      <c r="L152" s="134">
        <f>'Datos Actividad'!$J148*'FE Sectorial'!$H151*'FE Sectorial'!M151/1000/1000</f>
        <v>0</v>
      </c>
      <c r="M152" s="134">
        <f>'Datos Actividad'!$J148*'FE Sectorial'!$H151*'FE Sectorial'!N151/1000/1000</f>
        <v>0</v>
      </c>
      <c r="N152" s="134">
        <f>'Datos Actividad'!$J148*'FE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 x14ac:dyDescent="0.2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5365330.9023658531</v>
      </c>
      <c r="I153" s="124">
        <f t="shared" ref="I153:N153" si="41">I154+I168</f>
        <v>378327.02334986604</v>
      </c>
      <c r="J153" s="124">
        <f t="shared" si="41"/>
        <v>34.055886348208283</v>
      </c>
      <c r="K153" s="124">
        <f t="shared" si="41"/>
        <v>1661.0903569021525</v>
      </c>
      <c r="L153" s="124">
        <f t="shared" si="41"/>
        <v>2657.7346450400005</v>
      </c>
      <c r="M153" s="124">
        <f t="shared" si="41"/>
        <v>127549.95059367263</v>
      </c>
      <c r="N153" s="124">
        <f t="shared" si="41"/>
        <v>26577.3464504</v>
      </c>
      <c r="O153" s="124">
        <f>IF(D153&lt;400,H153+I153*'Factores generales'!$M$41+J153*'Factores generales'!$N$41,I153*'Factores generales'!$M$41+J153*'Factores generales'!$N$41)</f>
        <v>13320755.717480985</v>
      </c>
    </row>
    <row r="154" spans="1:15" x14ac:dyDescent="0.2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 x14ac:dyDescent="0.25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 x14ac:dyDescent="0.25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 x14ac:dyDescent="0.25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 x14ac:dyDescent="0.25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 x14ac:dyDescent="0.25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 x14ac:dyDescent="0.25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 x14ac:dyDescent="0.25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 x14ac:dyDescent="0.25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 x14ac:dyDescent="0.25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 x14ac:dyDescent="0.25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 x14ac:dyDescent="0.25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 x14ac:dyDescent="0.25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 x14ac:dyDescent="0.25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 x14ac:dyDescent="0.25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5365330.9023658531</v>
      </c>
      <c r="I168" s="129">
        <f t="shared" ref="I168:O168" si="44">I169+I188+I204</f>
        <v>375615.43196950696</v>
      </c>
      <c r="J168" s="129">
        <f t="shared" si="44"/>
        <v>34.055886348208283</v>
      </c>
      <c r="K168" s="129">
        <f t="shared" si="44"/>
        <v>1661.0903569021525</v>
      </c>
      <c r="L168" s="129">
        <f t="shared" si="44"/>
        <v>2657.7346450400005</v>
      </c>
      <c r="M168" s="129">
        <f t="shared" si="44"/>
        <v>127549.95059367263</v>
      </c>
      <c r="N168" s="129">
        <f t="shared" si="44"/>
        <v>26577.3464504</v>
      </c>
      <c r="O168" s="129">
        <f t="shared" si="44"/>
        <v>13263812.298493445</v>
      </c>
    </row>
    <row r="169" spans="1:15" s="27" customFormat="1" outlineLevel="1" x14ac:dyDescent="0.25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44251.205057190826</v>
      </c>
      <c r="I169" s="134">
        <f t="shared" ref="I169:O169" si="45">SUM(I170:I187)</f>
        <v>14173.707673605695</v>
      </c>
      <c r="J169" s="134">
        <f t="shared" si="45"/>
        <v>0.31014433543110209</v>
      </c>
      <c r="K169" s="134">
        <f t="shared" si="45"/>
        <v>1661.0903569021525</v>
      </c>
      <c r="L169" s="134">
        <f t="shared" si="45"/>
        <v>2657.7346450400005</v>
      </c>
      <c r="M169" s="134">
        <f t="shared" si="45"/>
        <v>77032.155040840938</v>
      </c>
      <c r="N169" s="134">
        <f t="shared" si="45"/>
        <v>26577.3464504</v>
      </c>
      <c r="O169" s="134">
        <f t="shared" si="45"/>
        <v>341995.21094689402</v>
      </c>
    </row>
    <row r="170" spans="1:15" s="27" customFormat="1" outlineLevel="1" x14ac:dyDescent="0.25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 x14ac:dyDescent="0.25">
      <c r="A171" s="20"/>
      <c r="B171" s="21"/>
      <c r="D171" s="85"/>
      <c r="E171" s="27" t="s">
        <v>157</v>
      </c>
      <c r="H171" s="92">
        <f>'Datos Actividad'!$J167*'FE Sectorial'!I170*1000</f>
        <v>1263.5234407526996</v>
      </c>
      <c r="I171" s="92">
        <f>'Datos Actividad'!$J167*'FE Sectorial'!J170*1000</f>
        <v>26.830069837605407</v>
      </c>
      <c r="J171" s="92">
        <f>'Datos Actividad'!$J167*'FE Sectorial'!K170*1000</f>
        <v>9.2988601452005937E-3</v>
      </c>
      <c r="K171" s="92">
        <f>'Datos Actividad'!$J167*'FE Sectorial'!L170*1000</f>
        <v>0</v>
      </c>
      <c r="L171" s="92">
        <f>'Datos Actividad'!$J167*'FE Sectorial'!M170*1000</f>
        <v>0</v>
      </c>
      <c r="M171" s="92">
        <f>'Datos Actividad'!$J167*'FE Sectorial'!N170*1000</f>
        <v>4.1342309000460489</v>
      </c>
      <c r="N171" s="92">
        <f>'Datos Actividad'!$J167*'FE Sectorial'!O170*1000</f>
        <v>0</v>
      </c>
      <c r="O171" s="87">
        <f>IF(D171&lt;400,H171+I171*'Factores generales'!$M$41+J171*'Factores generales'!$N$41,I171*'Factores generales'!$M$41+J171*'Factores generales'!$N$41)</f>
        <v>1829.8375539874253</v>
      </c>
    </row>
    <row r="172" spans="1:15" s="27" customFormat="1" outlineLevel="1" x14ac:dyDescent="0.25">
      <c r="A172" s="20"/>
      <c r="B172" s="21"/>
      <c r="D172" s="85"/>
      <c r="E172" s="27" t="s">
        <v>158</v>
      </c>
      <c r="H172" s="92">
        <f>'Datos Actividad'!$J168*'FE Sectorial'!I171*1000</f>
        <v>3158.8086018817494</v>
      </c>
      <c r="I172" s="92">
        <f>'Datos Actividad'!$J168*'FE Sectorial'!J171*1000</f>
        <v>67.075174594013518</v>
      </c>
      <c r="J172" s="92">
        <f>'Datos Actividad'!$J168*'FE Sectorial'!K171*1000</f>
        <v>2.3247150363001481E-2</v>
      </c>
      <c r="K172" s="92">
        <f>'Datos Actividad'!$J168*'FE Sectorial'!L171*1000</f>
        <v>0</v>
      </c>
      <c r="L172" s="92">
        <f>'Datos Actividad'!$J168*'FE Sectorial'!M171*1000</f>
        <v>0</v>
      </c>
      <c r="M172" s="92">
        <f>'Datos Actividad'!$J168*'FE Sectorial'!N171*1000</f>
        <v>10.335577250115122</v>
      </c>
      <c r="N172" s="92">
        <f>'Datos Actividad'!$J168*'FE Sectorial'!O171*1000</f>
        <v>0</v>
      </c>
      <c r="O172" s="87">
        <f>IF(D172&lt;400,H172+I172*'Factores generales'!$M$41+J172*'Factores generales'!$N$41,I172*'Factores generales'!$M$41+J172*'Factores generales'!$N$41)</f>
        <v>4574.5938849685635</v>
      </c>
    </row>
    <row r="173" spans="1:15" s="27" customFormat="1" outlineLevel="1" x14ac:dyDescent="0.25">
      <c r="A173" s="20"/>
      <c r="B173" s="21"/>
      <c r="D173" s="85"/>
      <c r="E173" s="27" t="s">
        <v>159</v>
      </c>
      <c r="H173" s="92">
        <f>'Datos Actividad'!$J169*'FE Sectorial'!I172*1000</f>
        <v>37719.890951882066</v>
      </c>
      <c r="I173" s="92">
        <f>'Datos Actividad'!$J169*'FE Sectorial'!J172*1000</f>
        <v>800.95649662263202</v>
      </c>
      <c r="J173" s="92">
        <f>'Datos Actividad'!$J169*'FE Sectorial'!K172*1000</f>
        <v>0.27759832492290004</v>
      </c>
      <c r="K173" s="92">
        <f>'Datos Actividad'!$J169*'FE Sectorial'!L172*1000</f>
        <v>0</v>
      </c>
      <c r="L173" s="92">
        <f>'Datos Actividad'!$J169*'FE Sectorial'!M172*1000</f>
        <v>0</v>
      </c>
      <c r="M173" s="92">
        <f>'Datos Actividad'!$J169*'FE Sectorial'!N172*1000</f>
        <v>123.41895186902175</v>
      </c>
      <c r="N173" s="92">
        <f>'Datos Actividad'!$J169*'FE Sectorial'!O172*1000</f>
        <v>0</v>
      </c>
      <c r="O173" s="87">
        <f>IF(D173&lt;400,H173+I173*'Factores generales'!$M$41+J173*'Factores generales'!$N$41,I173*'Factores generales'!$M$41+J173*'Factores generales'!$N$41)</f>
        <v>54626.032861683438</v>
      </c>
    </row>
    <row r="174" spans="1:15" s="27" customFormat="1" outlineLevel="1" x14ac:dyDescent="0.25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 x14ac:dyDescent="0.25">
      <c r="A175" s="20"/>
      <c r="B175" s="21"/>
      <c r="D175" s="85"/>
      <c r="E175" s="27" t="s">
        <v>17</v>
      </c>
      <c r="F175" s="27" t="s">
        <v>127</v>
      </c>
      <c r="H175" s="92">
        <f>'Datos Actividad'!$J171*'FE Sectorial'!I174</f>
        <v>885.4623797456826</v>
      </c>
      <c r="I175" s="92">
        <f>'Datos Actividad'!$J171*'FE Sectorial'!J174</f>
        <v>12214.081079100859</v>
      </c>
      <c r="J175" s="92">
        <f>'Datos Actividad'!$J171*'FE Sectorial'!K174</f>
        <v>0</v>
      </c>
      <c r="K175" s="92">
        <f>'Datos Actividad'!$J171*'FE Sectorial'!L174</f>
        <v>0</v>
      </c>
      <c r="L175" s="92">
        <f>'Datos Actividad'!$J171*'FE Sectorial'!M174</f>
        <v>0</v>
      </c>
      <c r="M175" s="92">
        <f>'Datos Actividad'!$J171*'FE Sectorial'!N174</f>
        <v>14959.133160389823</v>
      </c>
      <c r="N175" s="92">
        <f>'Datos Actividad'!$J171*'FE Sectorial'!O174</f>
        <v>0</v>
      </c>
      <c r="O175" s="87">
        <f>IF(D175&lt;400,H175+I175*'Factores generales'!$M$41+J175*'Factores generales'!$N$41,I175*'Factores generales'!$M$41+J175*'Factores generales'!$N$41)</f>
        <v>257381.16504086371</v>
      </c>
    </row>
    <row r="176" spans="1:15" s="27" customFormat="1" outlineLevel="1" x14ac:dyDescent="0.25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 x14ac:dyDescent="0.25">
      <c r="A177" s="20"/>
      <c r="B177" s="21"/>
      <c r="D177" s="85"/>
      <c r="E177" s="27" t="s">
        <v>144</v>
      </c>
      <c r="F177" s="27" t="s">
        <v>127</v>
      </c>
      <c r="H177" s="92">
        <f>'Datos Actividad'!$J173*'FE Sectorial'!I176</f>
        <v>0</v>
      </c>
      <c r="I177" s="92">
        <f>'Datos Actividad'!$J173*'FE Sectorial'!J176</f>
        <v>511.20445962240569</v>
      </c>
      <c r="J177" s="92">
        <f>'Datos Actividad'!$J173*'FE Sectorial'!K176</f>
        <v>0</v>
      </c>
      <c r="K177" s="92">
        <f>'Datos Actividad'!$J173*'FE Sectorial'!L176</f>
        <v>0</v>
      </c>
      <c r="L177" s="92">
        <f>'Datos Actividad'!$J173*'FE Sectorial'!M176</f>
        <v>0</v>
      </c>
      <c r="M177" s="92">
        <f>'Datos Actividad'!$J173*'FE Sectorial'!N176</f>
        <v>0</v>
      </c>
      <c r="N177" s="92">
        <f>'Datos Actividad'!$J173*'FE Sectorial'!O176</f>
        <v>0</v>
      </c>
      <c r="O177" s="87">
        <f>IF(D177&lt;400,H177+I177*'Factores generales'!$M$41+J177*'Factores generales'!$N$41,I177*'Factores generales'!$M$41+J177*'Factores generales'!$N$41)</f>
        <v>10735.293652070519</v>
      </c>
    </row>
    <row r="178" spans="1:15" s="27" customFormat="1" outlineLevel="1" x14ac:dyDescent="0.25">
      <c r="A178" s="20"/>
      <c r="B178" s="21"/>
      <c r="D178" s="85"/>
      <c r="E178" s="27" t="s">
        <v>145</v>
      </c>
      <c r="F178" s="27" t="s">
        <v>127</v>
      </c>
      <c r="H178" s="92">
        <f>'Datos Actividad'!$J174*'FE Sectorial'!I177</f>
        <v>10.968125873117</v>
      </c>
      <c r="I178" s="92">
        <f>'Datos Actividad'!$J174*'FE Sectorial'!J177</f>
        <v>120.87322390782001</v>
      </c>
      <c r="J178" s="92">
        <f>'Datos Actividad'!$J174*'FE Sectorial'!K177</f>
        <v>0</v>
      </c>
      <c r="K178" s="92">
        <f>'Datos Actividad'!$J174*'FE Sectorial'!L177</f>
        <v>0</v>
      </c>
      <c r="L178" s="92">
        <f>'Datos Actividad'!$J174*'FE Sectorial'!M177</f>
        <v>0</v>
      </c>
      <c r="M178" s="92">
        <f>'Datos Actividad'!$J174*'FE Sectorial'!N177</f>
        <v>1208.7322390782001</v>
      </c>
      <c r="N178" s="92">
        <f>'Datos Actividad'!$J174*'FE Sectorial'!O177</f>
        <v>0</v>
      </c>
      <c r="O178" s="87">
        <f>IF(D178&lt;400,H178+I178*'Factores generales'!$M$41+J178*'Factores generales'!$N$41,I178*'Factores generales'!$M$41+J178*'Factores generales'!$N$41)</f>
        <v>2549.3058279373372</v>
      </c>
    </row>
    <row r="179" spans="1:15" s="27" customFormat="1" outlineLevel="1" x14ac:dyDescent="0.25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 x14ac:dyDescent="0.25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 x14ac:dyDescent="0.25">
      <c r="A181" s="20"/>
      <c r="B181" s="21"/>
      <c r="D181" s="85"/>
      <c r="E181" s="27" t="s">
        <v>128</v>
      </c>
      <c r="F181" s="27" t="s">
        <v>127</v>
      </c>
      <c r="H181" s="92">
        <f>'Datos Actividad'!$J177*'FE Sectorial'!I180</f>
        <v>0</v>
      </c>
      <c r="I181" s="92">
        <f>'Datos Actividad'!$J177*'FE Sectorial'!J180</f>
        <v>343.00482801616027</v>
      </c>
      <c r="J181" s="92">
        <f>'Datos Actividad'!$J177*'FE Sectorial'!K180</f>
        <v>0</v>
      </c>
      <c r="K181" s="92">
        <f>'Datos Actividad'!$J177*'FE Sectorial'!L180</f>
        <v>1661.08415315</v>
      </c>
      <c r="L181" s="92">
        <f>'Datos Actividad'!$J177*'FE Sectorial'!M180</f>
        <v>2657.7346450400005</v>
      </c>
      <c r="M181" s="92">
        <f>'Datos Actividad'!$J177*'FE Sectorial'!N180</f>
        <v>43188.187981900002</v>
      </c>
      <c r="N181" s="92">
        <f>'Datos Actividad'!$J177*'FE Sectorial'!O180</f>
        <v>26577.3464504</v>
      </c>
      <c r="O181" s="87">
        <f>IF(D181&lt;400,H181+I181*'Factores generales'!$M$41+J181*'Factores generales'!$N$41,I181*'Factores generales'!$M$41+J181*'Factores generales'!$N$41)</f>
        <v>7203.1013883393662</v>
      </c>
    </row>
    <row r="182" spans="1:15" s="27" customFormat="1" outlineLevel="1" x14ac:dyDescent="0.25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 x14ac:dyDescent="0.25">
      <c r="A183" s="20"/>
      <c r="B183" s="21"/>
      <c r="D183" s="85"/>
      <c r="E183" s="27" t="s">
        <v>128</v>
      </c>
      <c r="F183" s="27" t="s">
        <v>127</v>
      </c>
      <c r="H183" s="92">
        <f>'Datos Actividad'!$J179*'FE Sectorial'!I182</f>
        <v>0</v>
      </c>
      <c r="I183" s="92">
        <f>'Datos Actividad'!$J179*'FE Sectorial'!J182</f>
        <v>89.682341904199347</v>
      </c>
      <c r="J183" s="92">
        <f>'Datos Actividad'!$J179*'FE Sectorial'!K182</f>
        <v>0</v>
      </c>
      <c r="K183" s="92">
        <f>'Datos Actividad'!$J179*'FE Sectorial'!L182</f>
        <v>0</v>
      </c>
      <c r="L183" s="92">
        <f>'Datos Actividad'!$J179*'FE Sectorial'!M182</f>
        <v>0</v>
      </c>
      <c r="M183" s="92">
        <f>'Datos Actividad'!$J179*'FE Sectorial'!N182</f>
        <v>0</v>
      </c>
      <c r="N183" s="92">
        <f>'Datos Actividad'!$J179*'FE Sectorial'!O182</f>
        <v>0</v>
      </c>
      <c r="O183" s="87">
        <f>IF(D183&lt;400,H183+I183*'Factores generales'!$M$41+J183*'Factores generales'!$N$41,I183*'Factores generales'!$M$41+J183*'Factores generales'!$N$41)</f>
        <v>1883.3291799881863</v>
      </c>
    </row>
    <row r="184" spans="1:15" s="27" customFormat="1" outlineLevel="1" x14ac:dyDescent="0.25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 x14ac:dyDescent="0.25">
      <c r="A185" s="20"/>
      <c r="B185" s="21"/>
      <c r="D185" s="85"/>
      <c r="E185" s="27" t="s">
        <v>98</v>
      </c>
      <c r="F185" t="s">
        <v>270</v>
      </c>
      <c r="H185" s="92">
        <f>'Datos Actividad'!$J181*'FE Sectorial'!I184</f>
        <v>0</v>
      </c>
      <c r="I185" s="92">
        <f>'Datos Actividad'!$J181*'FE Sectorial'!J184</f>
        <v>0</v>
      </c>
      <c r="J185" s="92">
        <f>'Datos Actividad'!$J181*'FE Sectorial'!K184</f>
        <v>0</v>
      </c>
      <c r="K185" s="92">
        <f>'Datos Actividad'!$J181*'FE Sectorial'!L184</f>
        <v>0</v>
      </c>
      <c r="L185" s="92">
        <f>'Datos Actividad'!$J181*'FE Sectorial'!M184</f>
        <v>0</v>
      </c>
      <c r="M185" s="92">
        <f>'Datos Actividad'!$J181*'FE Sectorial'!N184</f>
        <v>17538.212899453734</v>
      </c>
      <c r="N185" s="92">
        <f>'Datos Actividad'!$J181*'FE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 x14ac:dyDescent="0.25">
      <c r="A186" s="20"/>
      <c r="B186" s="21"/>
      <c r="D186" s="85"/>
      <c r="E186" s="27" t="s">
        <v>98</v>
      </c>
      <c r="F186" s="11" t="s">
        <v>162</v>
      </c>
      <c r="H186" s="92">
        <f>'Datos Actividad'!$J182*'FE Sectorial'!I185</f>
        <v>1212.5515570555169</v>
      </c>
      <c r="I186" s="92">
        <f>'Datos Actividad'!$J182*'FE Sectorial'!J185</f>
        <v>0</v>
      </c>
      <c r="J186" s="92">
        <f>'Datos Actividad'!$J182*'FE Sectorial'!K185</f>
        <v>0</v>
      </c>
      <c r="K186" s="92">
        <f>'Datos Actividad'!$J182*'FE Sectorial'!L185</f>
        <v>6.2037521523770648E-3</v>
      </c>
      <c r="L186" s="92">
        <f>'Datos Actividad'!$J182*'FE Sectorial'!M185</f>
        <v>0</v>
      </c>
      <c r="M186" s="92">
        <f>'Datos Actividad'!$J182*'FE Sectorial'!N185</f>
        <v>0</v>
      </c>
      <c r="N186" s="92">
        <f>'Datos Actividad'!$J182*'FE Sectorial'!O185</f>
        <v>0</v>
      </c>
      <c r="O186" s="87">
        <f>IF(D186&lt;400,H186+I186*'Factores generales'!$M$41+J186*'Factores generales'!$N$41,I186*'Factores generales'!$M$41+J186*'Factores generales'!$N$41)</f>
        <v>1212.5515570555169</v>
      </c>
    </row>
    <row r="187" spans="1:15" s="27" customFormat="1" outlineLevel="1" x14ac:dyDescent="0.25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 x14ac:dyDescent="0.25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6168.9115621180963</v>
      </c>
      <c r="I188" s="134">
        <f t="shared" ref="I188:O188" si="46">SUM(I189:I203)</f>
        <v>318274.69912945962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28581.386424432676</v>
      </c>
      <c r="N188" s="134">
        <f t="shared" si="46"/>
        <v>0</v>
      </c>
      <c r="O188" s="134">
        <f t="shared" si="46"/>
        <v>6689937.5932807699</v>
      </c>
    </row>
    <row r="189" spans="1:15" s="27" customFormat="1" outlineLevel="1" x14ac:dyDescent="0.25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 x14ac:dyDescent="0.25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 x14ac:dyDescent="0.25">
      <c r="A191" s="20"/>
      <c r="B191" s="21"/>
      <c r="D191" s="85"/>
      <c r="E191" s="27" t="s">
        <v>17</v>
      </c>
      <c r="F191" s="11" t="s">
        <v>8</v>
      </c>
      <c r="H191" s="92">
        <f>'Datos Actividad'!$J187*'FE Sectorial'!I190</f>
        <v>2534.4903007008465</v>
      </c>
      <c r="I191" s="92">
        <f>'Datos Actividad'!$J187*'FE Sectorial'!J190</f>
        <v>152471.18735000811</v>
      </c>
      <c r="J191" s="92">
        <f>'Datos Actividad'!$J187*'FE Sectorial'!K190</f>
        <v>0</v>
      </c>
      <c r="K191" s="92">
        <f>'Datos Actividad'!$J187*'FE Sectorial'!L190</f>
        <v>0</v>
      </c>
      <c r="L191" s="92">
        <f>'Datos Actividad'!$J187*'FE Sectorial'!M190</f>
        <v>0</v>
      </c>
      <c r="M191" s="92">
        <f>'Datos Actividad'!$J187*'FE Sectorial'!N190</f>
        <v>16684.057669574537</v>
      </c>
      <c r="N191" s="92">
        <f>'Datos Actividad'!$J187*'FE Sectorial'!O190</f>
        <v>0</v>
      </c>
      <c r="O191" s="87">
        <f>IF(D191&lt;400,H191+I191*'Factores generales'!$M$41+J191*'Factores generales'!$N$41,I191*'Factores generales'!$M$41+J191*'Factores generales'!$N$41)</f>
        <v>3204429.4246508712</v>
      </c>
    </row>
    <row r="192" spans="1:15" s="27" customFormat="1" outlineLevel="1" x14ac:dyDescent="0.25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 x14ac:dyDescent="0.25">
      <c r="A193" s="20"/>
      <c r="B193" s="21"/>
      <c r="D193" s="85"/>
      <c r="E193" s="27" t="s">
        <v>17</v>
      </c>
      <c r="F193" s="11" t="s">
        <v>8</v>
      </c>
      <c r="H193" s="92">
        <f>'Datos Actividad'!$J189*'FE Sectorial'!I192</f>
        <v>925.46500631460344</v>
      </c>
      <c r="I193" s="92">
        <f>'Datos Actividad'!$J189*'FE Sectorial'!J192</f>
        <v>11568.312578932546</v>
      </c>
      <c r="J193" s="92">
        <f>'Datos Actividad'!$J189*'FE Sectorial'!K192</f>
        <v>0</v>
      </c>
      <c r="K193" s="92">
        <f>'Datos Actividad'!$J189*'FE Sectorial'!L192</f>
        <v>0</v>
      </c>
      <c r="L193" s="92">
        <f>'Datos Actividad'!$J189*'FE Sectorial'!M192</f>
        <v>0</v>
      </c>
      <c r="M193" s="92">
        <f>'Datos Actividad'!$J189*'FE Sectorial'!N192</f>
        <v>10686.349410426301</v>
      </c>
      <c r="N193" s="92">
        <f>'Datos Actividad'!$J189*'FE Sectorial'!O192</f>
        <v>0</v>
      </c>
      <c r="O193" s="87">
        <f>IF(D193&lt;400,H193+I193*'Factores generales'!$M$41+J193*'Factores generales'!$N$41,I193*'Factores generales'!$M$41+J193*'Factores generales'!$N$41)</f>
        <v>243860.02916389806</v>
      </c>
    </row>
    <row r="194" spans="1:15" s="27" customFormat="1" outlineLevel="1" x14ac:dyDescent="0.25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 x14ac:dyDescent="0.25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 x14ac:dyDescent="0.25">
      <c r="A196" s="20"/>
      <c r="B196" s="21"/>
      <c r="D196" s="85"/>
      <c r="E196" s="27" t="s">
        <v>164</v>
      </c>
      <c r="F196" s="11" t="s">
        <v>8</v>
      </c>
      <c r="H196" s="92">
        <f>'Datos Actividad'!$J192*'FE Sectorial'!I195</f>
        <v>61.698297749442425</v>
      </c>
      <c r="I196" s="92">
        <f>'Datos Actividad'!$J192*'FE Sectorial'!J195</f>
        <v>19196.959929236986</v>
      </c>
      <c r="J196" s="92">
        <f>'Datos Actividad'!$J192*'FE Sectorial'!K195</f>
        <v>0</v>
      </c>
      <c r="K196" s="92">
        <f>'Datos Actividad'!$J192*'FE Sectorial'!L195</f>
        <v>0</v>
      </c>
      <c r="L196" s="92">
        <f>'Datos Actividad'!$J192*'FE Sectorial'!M195</f>
        <v>0</v>
      </c>
      <c r="M196" s="92">
        <f>'Datos Actividad'!$J192*'FE Sectorial'!N195</f>
        <v>459.08226443183997</v>
      </c>
      <c r="N196" s="92">
        <f>'Datos Actividad'!$J192*'FE Sectorial'!O195</f>
        <v>0</v>
      </c>
      <c r="O196" s="87">
        <f>IF(D196&lt;400,H196+I196*'Factores generales'!$M$41+J196*'Factores generales'!$N$41,I196*'Factores generales'!$M$41+J196*'Factores generales'!$N$41)</f>
        <v>403197.85681172617</v>
      </c>
    </row>
    <row r="197" spans="1:15" s="27" customFormat="1" outlineLevel="1" x14ac:dyDescent="0.25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 x14ac:dyDescent="0.25">
      <c r="A198" s="20"/>
      <c r="B198" s="21"/>
      <c r="D198" s="85"/>
      <c r="E198" s="27" t="s">
        <v>165</v>
      </c>
      <c r="F198" s="11" t="s">
        <v>8</v>
      </c>
      <c r="H198" s="92">
        <f>'Datos Actividad'!$J194*'FE Sectorial'!I197</f>
        <v>2647.2579573532039</v>
      </c>
      <c r="I198" s="92">
        <f>'Datos Actividad'!$J194*'FE Sectorial'!J197</f>
        <v>51953.343652579948</v>
      </c>
      <c r="J198" s="92">
        <f>'Datos Actividad'!$J194*'FE Sectorial'!K197</f>
        <v>0</v>
      </c>
      <c r="K198" s="92">
        <f>'Datos Actividad'!$J194*'FE Sectorial'!L197</f>
        <v>0</v>
      </c>
      <c r="L198" s="92">
        <f>'Datos Actividad'!$J194*'FE Sectorial'!M197</f>
        <v>0</v>
      </c>
      <c r="M198" s="92">
        <f>'Datos Actividad'!$J194*'FE Sectorial'!N197</f>
        <v>751.89708000000007</v>
      </c>
      <c r="N198" s="92">
        <f>'Datos Actividad'!$J194*'FE Sectorial'!O197</f>
        <v>0</v>
      </c>
      <c r="O198" s="87">
        <f>IF(D198&lt;400,H198+I198*'Factores generales'!$M$41+J198*'Factores generales'!$N$41,I198*'Factores generales'!$M$41+J198*'Factores generales'!$N$41)</f>
        <v>1093667.4746615321</v>
      </c>
    </row>
    <row r="199" spans="1:15" outlineLevel="1" x14ac:dyDescent="0.25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 x14ac:dyDescent="0.25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 x14ac:dyDescent="0.25">
      <c r="A201" s="20"/>
      <c r="E201" s="27" t="s">
        <v>98</v>
      </c>
      <c r="F201" s="11" t="s">
        <v>8</v>
      </c>
      <c r="H201" s="92">
        <f>'Datos Actividad'!$J197*'FE Sectorial'!I200</f>
        <v>0</v>
      </c>
      <c r="I201" s="92">
        <f>'Datos Actividad'!$J197*'FE Sectorial'!J200</f>
        <v>66994.086673878002</v>
      </c>
      <c r="J201" s="92">
        <f>'Datos Actividad'!$J197*'FE Sectorial'!K200</f>
        <v>0</v>
      </c>
      <c r="K201" s="92">
        <f>'Datos Actividad'!$J197*'FE Sectorial'!L200</f>
        <v>0</v>
      </c>
      <c r="L201" s="92">
        <f>'Datos Actividad'!$J197*'FE Sectorial'!M200</f>
        <v>0</v>
      </c>
      <c r="M201" s="92">
        <f>'Datos Actividad'!$J197*'FE Sectorial'!N200</f>
        <v>0</v>
      </c>
      <c r="N201" s="92">
        <f>'Datos Actividad'!$J197*'FE Sectorial'!O200</f>
        <v>0</v>
      </c>
      <c r="O201" s="87">
        <f>IF(D201&lt;400,H201+I201*'Factores generales'!$M$41+J201*'Factores generales'!$N$41,I201*'Factores generales'!$M$41+J201*'Factores generales'!$N$41)</f>
        <v>1406875.820151438</v>
      </c>
    </row>
    <row r="202" spans="1:15" outlineLevel="1" x14ac:dyDescent="0.25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 x14ac:dyDescent="0.25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Actividad'!$J199*'FE Sectorial'!I202</f>
        <v>0</v>
      </c>
      <c r="I203" s="92">
        <f>'Datos Actividad'!$J199*'FE Sectorial'!J202</f>
        <v>16090.808944823999</v>
      </c>
      <c r="J203" s="92">
        <f>'Datos Actividad'!$J199*'FE Sectorial'!K202</f>
        <v>0</v>
      </c>
      <c r="K203" s="92">
        <f>'Datos Actividad'!$J199*'FE Sectorial'!L202</f>
        <v>0</v>
      </c>
      <c r="L203" s="92">
        <f>'Datos Actividad'!$J199*'FE Sectorial'!M202</f>
        <v>0</v>
      </c>
      <c r="M203" s="92">
        <f>'Datos Actividad'!$J199*'FE Sectorial'!N202</f>
        <v>0</v>
      </c>
      <c r="N203" s="92">
        <f>'Datos Actividad'!$J199*'FE Sectorial'!O202</f>
        <v>0</v>
      </c>
      <c r="O203" s="87">
        <f>IF(D203&lt;400,H203+I203*'Factores generales'!$M$41+J203*'Factores generales'!$N$41,I203*'Factores generales'!$M$41+J203*'Factores generales'!$N$41)</f>
        <v>337906.98784130398</v>
      </c>
    </row>
    <row r="204" spans="1:15" outlineLevel="1" x14ac:dyDescent="0.25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5314910.7857465446</v>
      </c>
      <c r="I204" s="134">
        <f t="shared" ref="I204:O204" si="47">SUM(I205:I221)</f>
        <v>43167.02516644165</v>
      </c>
      <c r="J204" s="134">
        <f t="shared" si="47"/>
        <v>33.745742012777178</v>
      </c>
      <c r="K204" s="134">
        <f t="shared" si="47"/>
        <v>0</v>
      </c>
      <c r="L204" s="134">
        <f t="shared" si="47"/>
        <v>0</v>
      </c>
      <c r="M204" s="134">
        <f t="shared" si="47"/>
        <v>21936.409128399013</v>
      </c>
      <c r="N204" s="134">
        <f t="shared" si="47"/>
        <v>0</v>
      </c>
      <c r="O204" s="134">
        <f t="shared" si="47"/>
        <v>6231879.4942657808</v>
      </c>
    </row>
    <row r="205" spans="1:15" outlineLevel="1" x14ac:dyDescent="0.25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 x14ac:dyDescent="0.25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 x14ac:dyDescent="0.25">
      <c r="A207" s="20"/>
      <c r="E207" s="27" t="s">
        <v>17</v>
      </c>
      <c r="F207" s="27" t="s">
        <v>127</v>
      </c>
      <c r="H207" s="92">
        <f>'Datos Actividad'!$J203*'FE Sectorial'!I206</f>
        <v>4524.5253171460408</v>
      </c>
      <c r="I207" s="92">
        <f>'Datos Actividad'!$J203*'FE Sectorial'!J206</f>
        <v>34373.471031105495</v>
      </c>
      <c r="J207" s="92">
        <f>'Datos Actividad'!$J203*'FE Sectorial'!K206</f>
        <v>0</v>
      </c>
      <c r="K207" s="92">
        <f>'Datos Actividad'!$J203*'FE Sectorial'!L206</f>
        <v>0</v>
      </c>
      <c r="L207" s="92">
        <f>'Datos Actividad'!$J203*'FE Sectorial'!M206</f>
        <v>0</v>
      </c>
      <c r="M207" s="92">
        <f>'Datos Actividad'!$J203*'FE Sectorial'!N206</f>
        <v>20506.888849348419</v>
      </c>
      <c r="N207" s="92">
        <f>'Datos Actividad'!$J203*'FE Sectorial'!O206</f>
        <v>0</v>
      </c>
      <c r="O207" s="87">
        <f>IF(D207&lt;400,H207+I207*'Factores generales'!$M$41+J207*'Factores generales'!$N$41,I207*'Factores generales'!$M$41+J207*'Factores generales'!$N$41)</f>
        <v>726367.41697036149</v>
      </c>
    </row>
    <row r="208" spans="1:15" outlineLevel="1" x14ac:dyDescent="0.25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 x14ac:dyDescent="0.25">
      <c r="A209" s="20"/>
      <c r="E209" s="27" t="s">
        <v>17</v>
      </c>
      <c r="F209" s="27" t="s">
        <v>127</v>
      </c>
      <c r="H209" s="92">
        <f>'Datos Actividad'!$J205*'FE Sectorial'!I208</f>
        <v>1950857.2220930259</v>
      </c>
      <c r="I209" s="92">
        <f>'Datos Actividad'!$J205*'FE Sectorial'!J208</f>
        <v>1186.9953201996216</v>
      </c>
      <c r="J209" s="92">
        <f>'Datos Actividad'!$J205*'FE Sectorial'!K208</f>
        <v>30.554196472093778</v>
      </c>
      <c r="K209" s="92">
        <f>'Datos Actividad'!$J205*'FE Sectorial'!L208</f>
        <v>0</v>
      </c>
      <c r="L209" s="92">
        <f>'Datos Actividad'!$J205*'FE Sectorial'!M208</f>
        <v>0</v>
      </c>
      <c r="M209" s="92">
        <f>'Datos Actividad'!$J205*'FE Sectorial'!N208</f>
        <v>1004.7272706426435</v>
      </c>
      <c r="N209" s="92">
        <f>'Datos Actividad'!$J205*'FE Sectorial'!O208</f>
        <v>0</v>
      </c>
      <c r="O209" s="87">
        <f>IF(D209&lt;400,H209+I209*'Factores generales'!$M$41+J209*'Factores generales'!$N$41,I209*'Factores generales'!$M$41+J209*'Factores generales'!$N$41)</f>
        <v>1985255.924723567</v>
      </c>
    </row>
    <row r="210" spans="1:15" outlineLevel="1" x14ac:dyDescent="0.25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 x14ac:dyDescent="0.25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 x14ac:dyDescent="0.25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 x14ac:dyDescent="0.25">
      <c r="A213" s="20"/>
      <c r="B213" s="28"/>
      <c r="E213" s="27" t="s">
        <v>17</v>
      </c>
      <c r="F213" s="11" t="s">
        <v>8</v>
      </c>
      <c r="H213" s="92">
        <f>'Datos Actividad'!$J209*'FE Sectorial'!I212</f>
        <v>3112305.0790318097</v>
      </c>
      <c r="I213" s="92">
        <f>'Datos Actividad'!$J209*'FE Sectorial'!J212</f>
        <v>0</v>
      </c>
      <c r="J213" s="92">
        <f>'Datos Actividad'!$J209*'FE Sectorial'!K212</f>
        <v>0</v>
      </c>
      <c r="K213" s="92">
        <f>'Datos Actividad'!$J209*'FE Sectorial'!L212</f>
        <v>0</v>
      </c>
      <c r="L213" s="92">
        <f>'Datos Actividad'!$J209*'FE Sectorial'!M212</f>
        <v>0</v>
      </c>
      <c r="M213" s="92">
        <f>'Datos Actividad'!$J209*'FE Sectorial'!N212</f>
        <v>0</v>
      </c>
      <c r="N213" s="92">
        <f>'Datos Actividad'!$J209*'FE Sectorial'!O212</f>
        <v>0</v>
      </c>
      <c r="O213" s="87">
        <f>IF(D213&lt;400,H213+I213*'Factores generales'!$M$41+J213*'Factores generales'!$N$41,I213*'Factores generales'!$M$41+J213*'Factores generales'!$N$41)</f>
        <v>3112305.0790318097</v>
      </c>
    </row>
    <row r="214" spans="1:15" outlineLevel="1" x14ac:dyDescent="0.25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 x14ac:dyDescent="0.25">
      <c r="A215" s="20"/>
      <c r="B215" s="28"/>
      <c r="E215" s="27" t="s">
        <v>164</v>
      </c>
      <c r="F215" s="11" t="s">
        <v>8</v>
      </c>
      <c r="H215" s="92">
        <f>'Datos Actividad'!$J211*'FE Sectorial'!I214</f>
        <v>196.22395113745205</v>
      </c>
      <c r="I215" s="92">
        <f>'Datos Actividad'!$J211*'FE Sectorial'!J214</f>
        <v>7443.0671560412929</v>
      </c>
      <c r="J215" s="92">
        <f>'Datos Actividad'!$J211*'FE Sectorial'!K214</f>
        <v>0</v>
      </c>
      <c r="K215" s="92">
        <f>'Datos Actividad'!$J211*'FE Sectorial'!L214</f>
        <v>0</v>
      </c>
      <c r="L215" s="92">
        <f>'Datos Actividad'!$J211*'FE Sectorial'!M214</f>
        <v>0</v>
      </c>
      <c r="M215" s="92">
        <f>'Datos Actividad'!$J211*'FE Sectorial'!N214</f>
        <v>293.41681447595761</v>
      </c>
      <c r="N215" s="92">
        <f>'Datos Actividad'!$J211*'FE Sectorial'!O214</f>
        <v>0</v>
      </c>
      <c r="O215" s="87">
        <f>IF(D215&lt;400,H215+I215*'Factores generales'!$M$41+J215*'Factores generales'!$N$41,I215*'Factores generales'!$M$41+J215*'Factores generales'!$N$41)</f>
        <v>156500.63422800461</v>
      </c>
    </row>
    <row r="216" spans="1:15" outlineLevel="1" x14ac:dyDescent="0.25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 x14ac:dyDescent="0.25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 x14ac:dyDescent="0.25">
      <c r="A218" s="20"/>
      <c r="B218" s="28"/>
      <c r="E218" s="27" t="s">
        <v>17</v>
      </c>
      <c r="F218" s="11" t="s">
        <v>8</v>
      </c>
      <c r="H218" s="92">
        <f>'Datos Actividad'!$J214*'FE Sectorial'!I217</f>
        <v>69958.578680036051</v>
      </c>
      <c r="I218" s="92">
        <f>'Datos Actividad'!$J214*'FE Sectorial'!J217</f>
        <v>44.014640530094525</v>
      </c>
      <c r="J218" s="92">
        <f>'Datos Actividad'!$J214*'FE Sectorial'!K217</f>
        <v>1.2459453955599789</v>
      </c>
      <c r="K218" s="92">
        <f>'Datos Actividad'!$J214*'FE Sectorial'!L217</f>
        <v>0</v>
      </c>
      <c r="L218" s="92">
        <f>'Datos Actividad'!$J214*'FE Sectorial'!M217</f>
        <v>0</v>
      </c>
      <c r="M218" s="92">
        <f>'Datos Actividad'!$J214*'FE Sectorial'!N217</f>
        <v>36.651830610265691</v>
      </c>
      <c r="N218" s="92">
        <f>'Datos Actividad'!$J214*'FE Sectorial'!O217</f>
        <v>0</v>
      </c>
      <c r="O218" s="87">
        <f>IF(D218&lt;400,H218+I218*'Factores generales'!$M$41+J218*'Factores generales'!$N$41,I218*'Factores generales'!$M$41+J218*'Factores generales'!$N$41)</f>
        <v>71269.129203791628</v>
      </c>
    </row>
    <row r="219" spans="1:15" outlineLevel="1" x14ac:dyDescent="0.25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 x14ac:dyDescent="0.25">
      <c r="A220" s="20"/>
      <c r="E220" s="27" t="s">
        <v>17</v>
      </c>
      <c r="F220" s="11" t="s">
        <v>8</v>
      </c>
      <c r="H220" s="92">
        <f>'Datos Actividad'!$J216*'FE Sectorial'!I219</f>
        <v>177069.15667338963</v>
      </c>
      <c r="I220" s="92">
        <f>'Datos Actividad'!$J216*'FE Sectorial'!J219</f>
        <v>119.47701856514004</v>
      </c>
      <c r="J220" s="92">
        <f>'Datos Actividad'!$J216*'FE Sectorial'!K219</f>
        <v>1.9456001451234235</v>
      </c>
      <c r="K220" s="92">
        <f>'Datos Actividad'!$J216*'FE Sectorial'!L219</f>
        <v>0</v>
      </c>
      <c r="L220" s="92">
        <f>'Datos Actividad'!$J216*'FE Sectorial'!M219</f>
        <v>0</v>
      </c>
      <c r="M220" s="92">
        <f>'Datos Actividad'!$J216*'FE Sectorial'!N219</f>
        <v>94.724363321726571</v>
      </c>
      <c r="N220" s="92">
        <f>'Datos Actividad'!$J216*'FE Sectorial'!O219</f>
        <v>0</v>
      </c>
      <c r="O220" s="87">
        <f>IF(D220&lt;400,H220+I220*'Factores generales'!$M$41+J220*'Factores generales'!$N$41,I220*'Factores generales'!$M$41+J220*'Factores generales'!$N$41)</f>
        <v>180181.31010824585</v>
      </c>
    </row>
    <row r="221" spans="1:15" outlineLevel="1" x14ac:dyDescent="0.25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8" x14ac:dyDescent="0.25">
      <c r="H223" s="175" t="s">
        <v>262</v>
      </c>
      <c r="I223" s="175"/>
      <c r="J223" s="175"/>
      <c r="K223" s="175"/>
      <c r="L223" s="175"/>
      <c r="M223" s="175"/>
      <c r="N223" s="107">
        <f>H14+H53+H60+H61+H62+H67+H68+H69+H75+H84+H85+H112+H113+H133+H139+H140+H144</f>
        <v>11067037.438560994</v>
      </c>
      <c r="O223" s="23" t="s">
        <v>237</v>
      </c>
    </row>
    <row r="224" spans="1:15" ht="18" x14ac:dyDescent="0.25">
      <c r="H224" s="175" t="s">
        <v>273</v>
      </c>
      <c r="I224" s="175"/>
      <c r="J224" s="175"/>
      <c r="K224" s="175"/>
      <c r="L224" s="175"/>
      <c r="M224" s="175"/>
      <c r="N224" s="107">
        <f>N225+N226</f>
        <v>5478725.5569461267</v>
      </c>
      <c r="O224" s="23" t="s">
        <v>244</v>
      </c>
    </row>
    <row r="225" spans="7:15" ht="15" customHeight="1" x14ac:dyDescent="0.25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2598193.9796228851</v>
      </c>
      <c r="O225" s="23" t="s">
        <v>244</v>
      </c>
    </row>
    <row r="226" spans="7:15" ht="15" customHeight="1" x14ac:dyDescent="0.25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2880531.5773232421</v>
      </c>
      <c r="O226" s="23" t="s">
        <v>244</v>
      </c>
    </row>
    <row r="227" spans="7:15" ht="15" customHeight="1" x14ac:dyDescent="0.25"/>
    <row r="228" spans="7:15" ht="15" customHeight="1" x14ac:dyDescent="0.25"/>
    <row r="229" spans="7:15" ht="15" customHeight="1" x14ac:dyDescent="0.25"/>
    <row r="230" spans="7:15" ht="15" customHeight="1" x14ac:dyDescent="0.25"/>
    <row r="231" spans="7:15" ht="15" customHeight="1" x14ac:dyDescent="0.25"/>
    <row r="232" spans="7:15" ht="15" customHeight="1" x14ac:dyDescent="0.25"/>
    <row r="233" spans="7:15" ht="15" customHeight="1" x14ac:dyDescent="0.25"/>
    <row r="234" spans="7:15" ht="15" customHeight="1" x14ac:dyDescent="0.25"/>
    <row r="235" spans="7:15" ht="15" customHeight="1" x14ac:dyDescent="0.25"/>
    <row r="236" spans="7:15" ht="15" customHeight="1" x14ac:dyDescent="0.25"/>
    <row r="237" spans="7:15" ht="15" customHeight="1" x14ac:dyDescent="0.25"/>
    <row r="238" spans="7:15" ht="15" customHeight="1" x14ac:dyDescent="0.25"/>
    <row r="239" spans="7:15" ht="15" customHeight="1" x14ac:dyDescent="0.25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Datos Actividad</vt:lpstr>
      <vt:lpstr>FE Sectorial</vt:lpstr>
      <vt:lpstr>Factores generales</vt:lpstr>
      <vt:lpstr>Inventario 2018</vt:lpstr>
      <vt:lpstr>Inventario 2016</vt:lpstr>
      <vt:lpstr>Inventario 2014</vt:lpstr>
      <vt:lpstr>Inventario 2011</vt:lpstr>
      <vt:lpstr>Inventario 2009</vt:lpstr>
      <vt:lpstr>Inventario 2008</vt:lpstr>
      <vt:lpstr>Inventario 2007</vt:lpstr>
      <vt:lpstr>Inventario 2006</vt:lpstr>
      <vt:lpstr>Inventario 2005</vt:lpstr>
      <vt:lpstr>Inventario 2004</vt:lpstr>
      <vt:lpstr>Inventario 2003</vt:lpstr>
      <vt:lpstr>Inventario 2002</vt:lpstr>
      <vt:lpstr>Inventario 2001</vt:lpstr>
      <vt:lpstr>Inventario 1999</vt:lpstr>
      <vt:lpstr>Inventario 1998</vt:lpstr>
      <vt:lpstr>Inventario 1997</vt:lpstr>
      <vt:lpstr>Inventario 1996</vt:lpstr>
      <vt:lpstr>Inventario 1995</vt:lpstr>
      <vt:lpstr>Inventario 1994</vt:lpstr>
      <vt:lpstr>Inventario 1993</vt:lpstr>
      <vt:lpstr>Inventario 1992</vt:lpstr>
      <vt:lpstr>Inventario 1991</vt:lpstr>
      <vt:lpstr>Inventario 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Danny Hartono</cp:lastModifiedBy>
  <cp:lastPrinted>2014-06-04T16:56:40Z</cp:lastPrinted>
  <dcterms:created xsi:type="dcterms:W3CDTF">2014-05-08T15:40:43Z</dcterms:created>
  <dcterms:modified xsi:type="dcterms:W3CDTF">2022-03-16T09:18:10Z</dcterms:modified>
</cp:coreProperties>
</file>