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1E1E6A4A-D38B-44BB-BF21-EC70D6897FD5}" xr6:coauthVersionLast="47" xr6:coauthVersionMax="47" xr10:uidLastSave="{00000000-0000-0000-0000-000000000000}"/>
  <bookViews>
    <workbookView xWindow="-23148" yWindow="-108" windowWidth="23256" windowHeight="12576" firstSheet="1" activeTab="3" xr2:uid="{7889CB36-7083-4D16-B0FE-16DC7F037511}"/>
  </bookViews>
  <sheets>
    <sheet name="global_assumptions" sheetId="6" r:id="rId1"/>
    <sheet name="behavioral_variables" sheetId="8" r:id="rId2"/>
    <sheet name="factor_loadings" sheetId="4" r:id="rId3"/>
    <sheet name="correlation_matrix" sheetId="9" r:id="rId4"/>
    <sheet name="source_data" sheetId="2" r:id="rId5"/>
    <sheet name="sources" sheetId="3" r:id="rId6"/>
    <sheet name="regressionAnalysisWeigh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1" i="4"/>
  <c r="E18" i="4"/>
  <c r="E19" i="4"/>
  <c r="E20" i="4"/>
  <c r="E17" i="4"/>
  <c r="D22" i="4"/>
  <c r="D21" i="4"/>
  <c r="D18" i="4"/>
  <c r="D19" i="4"/>
  <c r="D20" i="4"/>
  <c r="D17" i="4"/>
  <c r="D16" i="4"/>
  <c r="D15" i="4"/>
  <c r="F2" i="8"/>
  <c r="E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24" i="4"/>
  <c r="E25" i="4"/>
  <c r="E23" i="4"/>
  <c r="E7" i="4"/>
  <c r="E8" i="4"/>
  <c r="E9" i="4"/>
  <c r="E6" i="4"/>
  <c r="E3" i="4"/>
  <c r="E4" i="4"/>
  <c r="E2" i="4"/>
  <c r="D24" i="4"/>
  <c r="D25" i="4"/>
  <c r="D26" i="4"/>
  <c r="D23" i="4"/>
  <c r="D7" i="4"/>
  <c r="D8" i="4"/>
  <c r="D9" i="4"/>
  <c r="D6" i="4"/>
  <c r="D3" i="4"/>
  <c r="D4" i="4"/>
  <c r="D2" i="4"/>
  <c r="D4" i="8"/>
  <c r="D3" i="8"/>
  <c r="F11" i="2"/>
  <c r="E11" i="2"/>
  <c r="E7" i="2"/>
  <c r="F7" i="2"/>
  <c r="F8" i="2"/>
  <c r="C6" i="8" s="1"/>
  <c r="E8" i="2"/>
  <c r="B6" i="8" s="1"/>
  <c r="C14" i="2"/>
  <c r="F14" i="2" s="1"/>
  <c r="C15" i="2"/>
  <c r="F15" i="2" s="1"/>
  <c r="C16" i="2"/>
  <c r="F16" i="2" s="1"/>
  <c r="B16" i="2"/>
  <c r="E16" i="2" s="1"/>
  <c r="B15" i="2"/>
  <c r="E15" i="2" s="1"/>
  <c r="B14" i="2"/>
  <c r="E14" i="2" s="1"/>
  <c r="B4" i="8" s="1"/>
  <c r="F9" i="2"/>
  <c r="C7" i="8" s="1"/>
  <c r="F7" i="8" s="1"/>
  <c r="E9" i="2"/>
  <c r="B7" i="8" s="1"/>
  <c r="E7" i="8" s="1"/>
  <c r="F13" i="2"/>
  <c r="E13" i="2"/>
  <c r="F12" i="2"/>
  <c r="E12" i="2"/>
  <c r="F18" i="2"/>
  <c r="E18" i="2"/>
  <c r="C10" i="2"/>
  <c r="F10" i="2" s="1"/>
  <c r="B10" i="2"/>
  <c r="E10" i="2" s="1"/>
  <c r="C17" i="2"/>
  <c r="F17" i="2" s="1"/>
  <c r="C5" i="8" s="1"/>
  <c r="B17" i="2"/>
  <c r="E17" i="2" s="1"/>
  <c r="B5" i="8" s="1"/>
  <c r="C6" i="2"/>
  <c r="F6" i="2" s="1"/>
  <c r="C3" i="8" s="1"/>
  <c r="B6" i="2"/>
  <c r="E6" i="2" s="1"/>
  <c r="C5" i="2"/>
  <c r="F5" i="2" s="1"/>
  <c r="B5" i="2"/>
  <c r="E5" i="2" s="1"/>
  <c r="C4" i="2"/>
  <c r="F4" i="2" s="1"/>
  <c r="B4" i="2"/>
  <c r="E4" i="2" s="1"/>
  <c r="B3" i="8" s="1"/>
  <c r="C3" i="2"/>
  <c r="F3" i="2" s="1"/>
  <c r="B3" i="2"/>
  <c r="E3" i="2" s="1"/>
  <c r="F2" i="2"/>
  <c r="E2" i="2"/>
  <c r="C19" i="5"/>
  <c r="C18" i="5"/>
  <c r="C2" i="5"/>
  <c r="E6" i="8" l="1"/>
  <c r="C4" i="8"/>
  <c r="F4" i="8" s="1"/>
  <c r="F6" i="8"/>
  <c r="F3" i="8"/>
  <c r="E5" i="8"/>
  <c r="E4" i="8"/>
  <c r="F5" i="8"/>
  <c r="E3" i="8"/>
</calcChain>
</file>

<file path=xl/sharedStrings.xml><?xml version="1.0" encoding="utf-8"?>
<sst xmlns="http://schemas.openxmlformats.org/spreadsheetml/2006/main" count="193" uniqueCount="110">
  <si>
    <t>Parameter</t>
  </si>
  <si>
    <t>pbc</t>
  </si>
  <si>
    <t>medium</t>
  </si>
  <si>
    <t>sources</t>
  </si>
  <si>
    <t>Trust, awareness, and independence: Insights from a socio-psychological factor analysis of citizen knowledge and participation in community energy systems</t>
  </si>
  <si>
    <t>id</t>
  </si>
  <si>
    <t>authors</t>
  </si>
  <si>
    <t>title</t>
  </si>
  <si>
    <t>doi</t>
  </si>
  <si>
    <t>10.1016/j.erss.2018.01.009</t>
  </si>
  <si>
    <t>Koirala et al.</t>
  </si>
  <si>
    <t>sense_of_community</t>
  </si>
  <si>
    <t>community_trust</t>
  </si>
  <si>
    <t>sd</t>
  </si>
  <si>
    <t>acceptance_sight_pv</t>
  </si>
  <si>
    <t>acceptance_sight_wind</t>
  </si>
  <si>
    <t>acceptance_noise_wind</t>
  </si>
  <si>
    <t>good_for_env</t>
  </si>
  <si>
    <t>climate_change</t>
  </si>
  <si>
    <t>emission_reduction</t>
  </si>
  <si>
    <t>economic_benefits</t>
  </si>
  <si>
    <t>scale</t>
  </si>
  <si>
    <t>medium_norm</t>
  </si>
  <si>
    <t>sd_norm</t>
  </si>
  <si>
    <t>democratic_dm</t>
  </si>
  <si>
    <t>independence_grid</t>
  </si>
  <si>
    <t>independence_suppl</t>
  </si>
  <si>
    <t>time</t>
  </si>
  <si>
    <t>willingness_to_participate</t>
  </si>
  <si>
    <t>environmental_concern</t>
  </si>
  <si>
    <t>sign.</t>
  </si>
  <si>
    <t>acceptance_renewables</t>
  </si>
  <si>
    <t>independence</t>
  </si>
  <si>
    <t>n. sign.</t>
  </si>
  <si>
    <t>Beta</t>
  </si>
  <si>
    <t>Std. Beta</t>
  </si>
  <si>
    <t>community_resitance</t>
  </si>
  <si>
    <t>Age</t>
  </si>
  <si>
    <t>Gender</t>
  </si>
  <si>
    <t>Education</t>
  </si>
  <si>
    <t>Income</t>
  </si>
  <si>
    <t>Type_of_community</t>
  </si>
  <si>
    <t>Energy_education</t>
  </si>
  <si>
    <t>PV_ownership</t>
  </si>
  <si>
    <t>House_ownership</t>
  </si>
  <si>
    <t>Awareness</t>
  </si>
  <si>
    <t>Economic_incentives</t>
  </si>
  <si>
    <t>PBC</t>
  </si>
  <si>
    <t>Integrating Norm Activation Model and Theory of Planned Behavior to Understand Sustainable Transport Behavior: Evidence from China</t>
  </si>
  <si>
    <t>Liu et al</t>
  </si>
  <si>
    <t>10.3390/ijerph14121593</t>
  </si>
  <si>
    <t>Bauwens</t>
  </si>
  <si>
    <t>Analyzing the determinants of the size of investments by community renewable energy members: Findings and policy implications from Flanders</t>
  </si>
  <si>
    <t>10.1016/j.enpol.2019.02.067</t>
  </si>
  <si>
    <t>WtP_constant</t>
  </si>
  <si>
    <t>WtP_standardDeviation</t>
  </si>
  <si>
    <t>n.a.</t>
  </si>
  <si>
    <t>WtP_mean</t>
  </si>
  <si>
    <t>Factors</t>
  </si>
  <si>
    <t>familiarity_with_CES</t>
  </si>
  <si>
    <t>ff_reduction</t>
  </si>
  <si>
    <t>sense_of_belongingness_to_community</t>
  </si>
  <si>
    <t>trust_in_community</t>
  </si>
  <si>
    <t>update is now demcr. Decision making</t>
  </si>
  <si>
    <t>source</t>
  </si>
  <si>
    <t>willingness to initiate threshold</t>
  </si>
  <si>
    <t>willingness to invest threshold</t>
  </si>
  <si>
    <t>initiators required</t>
  </si>
  <si>
    <t>learning rate</t>
  </si>
  <si>
    <t>network size standard deviation</t>
  </si>
  <si>
    <t>network size mean</t>
  </si>
  <si>
    <t>share annual contacts</t>
  </si>
  <si>
    <t>share local contacts</t>
  </si>
  <si>
    <t>Assumption</t>
  </si>
  <si>
    <t>value</t>
  </si>
  <si>
    <t>attitude</t>
  </si>
  <si>
    <t>home_ownership</t>
  </si>
  <si>
    <t>subjective_norms</t>
  </si>
  <si>
    <t>renewables_attitude</t>
  </si>
  <si>
    <t>factor_loading</t>
  </si>
  <si>
    <t>latent_construct</t>
  </si>
  <si>
    <t>observed_variable</t>
  </si>
  <si>
    <t>awareness_EC</t>
  </si>
  <si>
    <t>time_availability</t>
  </si>
  <si>
    <t>financial_availability</t>
  </si>
  <si>
    <t>time_available</t>
  </si>
  <si>
    <t>finance_available</t>
  </si>
  <si>
    <t>financial_attitude</t>
  </si>
  <si>
    <t>to</t>
  </si>
  <si>
    <t>mean</t>
  </si>
  <si>
    <t>tot_weight</t>
  </si>
  <si>
    <t>mean_norm</t>
  </si>
  <si>
    <t>n.a. constructed based on neighborhood parameters</t>
  </si>
  <si>
    <t>variable</t>
  </si>
  <si>
    <t>factor_loading_norm</t>
  </si>
  <si>
    <t>personal_norms</t>
  </si>
  <si>
    <t>Factors influencing intention to invest in a community owned renewable energy initiative in Queensland, Australia</t>
  </si>
  <si>
    <t>10.1016/j.enpol.2020.111441</t>
  </si>
  <si>
    <t>Proudlove et al.</t>
  </si>
  <si>
    <t>Energy Policy</t>
  </si>
  <si>
    <t>Who wants to join a renewable energy community in Flanders? Applying an extended model of Theory of Planned Behaviour to understand intent to participate</t>
  </si>
  <si>
    <t>Conradie et al.</t>
  </si>
  <si>
    <t>10.1016/j.enpol.2020.112121</t>
  </si>
  <si>
    <t>Energy Research &amp; Social Science</t>
  </si>
  <si>
    <t>International Journal of Environmental Research and Public Health</t>
  </si>
  <si>
    <t>year</t>
  </si>
  <si>
    <t>journal</t>
  </si>
  <si>
    <t>awareness_of_consequences</t>
  </si>
  <si>
    <t>willingness_to_change_behavior</t>
  </si>
  <si>
    <t>ecological_behavior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</si>
</sst>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4BD5-7A03-4979-9B24-44A967EC7A8F}">
  <dimension ref="A1:B9"/>
  <sheetViews>
    <sheetView workbookViewId="0">
      <selection activeCell="B4" sqref="B4"/>
    </sheetView>
  </sheetViews>
  <sheetFormatPr defaultRowHeight="15" x14ac:dyDescent="0.25"/>
  <cols>
    <col min="1" max="1" width="32.140625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65</v>
      </c>
      <c r="B2">
        <v>0.75</v>
      </c>
    </row>
    <row r="3" spans="1:2" x14ac:dyDescent="0.25">
      <c r="A3" t="s">
        <v>66</v>
      </c>
      <c r="B3">
        <v>0.7</v>
      </c>
    </row>
    <row r="4" spans="1:2" x14ac:dyDescent="0.25">
      <c r="A4" t="s">
        <v>67</v>
      </c>
      <c r="B4">
        <v>5</v>
      </c>
    </row>
    <row r="5" spans="1:2" x14ac:dyDescent="0.25">
      <c r="A5" t="s">
        <v>68</v>
      </c>
      <c r="B5">
        <v>5.0000000000000001E-3</v>
      </c>
    </row>
    <row r="6" spans="1:2" x14ac:dyDescent="0.25">
      <c r="A6" t="s">
        <v>70</v>
      </c>
      <c r="B6">
        <v>25</v>
      </c>
    </row>
    <row r="7" spans="1:2" x14ac:dyDescent="0.25">
      <c r="A7" t="s">
        <v>69</v>
      </c>
      <c r="B7">
        <v>2.5</v>
      </c>
    </row>
    <row r="8" spans="1:2" x14ac:dyDescent="0.25">
      <c r="A8" t="s">
        <v>72</v>
      </c>
      <c r="B8">
        <v>0.9</v>
      </c>
    </row>
    <row r="9" spans="1:2" x14ac:dyDescent="0.25">
      <c r="A9" t="s">
        <v>71</v>
      </c>
      <c r="B9">
        <v>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F96C-7FCC-4470-983E-20F0B68A4987}">
  <dimension ref="A1:F9"/>
  <sheetViews>
    <sheetView workbookViewId="0">
      <selection activeCell="A2" sqref="A2:A7"/>
    </sheetView>
  </sheetViews>
  <sheetFormatPr defaultRowHeight="15" x14ac:dyDescent="0.25"/>
  <cols>
    <col min="1" max="1" width="23.5703125" customWidth="1"/>
  </cols>
  <sheetData>
    <row r="1" spans="1:6" x14ac:dyDescent="0.25">
      <c r="A1" t="s">
        <v>93</v>
      </c>
      <c r="B1" t="s">
        <v>89</v>
      </c>
      <c r="C1" t="s">
        <v>13</v>
      </c>
      <c r="D1" t="s">
        <v>90</v>
      </c>
      <c r="E1" t="s">
        <v>91</v>
      </c>
      <c r="F1" t="s">
        <v>23</v>
      </c>
    </row>
    <row r="2" spans="1:6" x14ac:dyDescent="0.25">
      <c r="A2" t="s">
        <v>28</v>
      </c>
      <c r="B2">
        <v>3.39</v>
      </c>
      <c r="C2">
        <v>0.98</v>
      </c>
      <c r="D2">
        <v>5</v>
      </c>
      <c r="E2" s="2">
        <f t="shared" ref="E2:F2" si="0">B2/$D2</f>
        <v>0.67800000000000005</v>
      </c>
      <c r="F2" s="2">
        <f t="shared" si="0"/>
        <v>0.19600000000000001</v>
      </c>
    </row>
    <row r="3" spans="1:6" x14ac:dyDescent="0.25">
      <c r="A3" t="s">
        <v>29</v>
      </c>
      <c r="B3" s="2">
        <f>source_data!E3*source_data!H3+source_data!E4*source_data!H4+source_data!E5*source_data!H5+source_data!E6*source_data!H6</f>
        <v>2.6362557142857144</v>
      </c>
      <c r="C3" s="2">
        <f>source_data!F3*source_data!H3+source_data!F4*source_data!H4+source_data!F5*source_data!H5+source_data!F6*source_data!H6</f>
        <v>0.63517428571428569</v>
      </c>
      <c r="D3" s="2">
        <f>SUM(source_data!H3:H6)</f>
        <v>3.22</v>
      </c>
      <c r="E3" s="2">
        <f>B3/D3</f>
        <v>0.81871295474711625</v>
      </c>
      <c r="F3" s="2">
        <f>C3/D3</f>
        <v>0.19725909494232474</v>
      </c>
    </row>
    <row r="4" spans="1:6" x14ac:dyDescent="0.25">
      <c r="A4" t="s">
        <v>78</v>
      </c>
      <c r="B4" s="2">
        <f>source_data!E14*source_data!H14+source_data!E15*source_data!H15+source_data!E16*source_data!H16</f>
        <v>1.2477179999999999</v>
      </c>
      <c r="C4" s="2">
        <f>source_data!F14*source_data!H14+source_data!F15*source_data!H15+source_data!F16*source_data!H16</f>
        <v>0.51573340000000001</v>
      </c>
      <c r="D4" s="2">
        <f>SUM(source_data!H14:H16)</f>
        <v>2.0309999999999997</v>
      </c>
      <c r="E4" s="2">
        <f>B4/D4</f>
        <v>0.6143367799113737</v>
      </c>
      <c r="F4" s="2">
        <f>C4/D4</f>
        <v>0.25393077301821765</v>
      </c>
    </row>
    <row r="5" spans="1:6" x14ac:dyDescent="0.25">
      <c r="A5" t="s">
        <v>87</v>
      </c>
      <c r="B5" s="2">
        <f>source_data!E17</f>
        <v>0.74142857142857144</v>
      </c>
      <c r="C5" s="2">
        <f>source_data!F17</f>
        <v>0.22</v>
      </c>
      <c r="D5" s="2">
        <v>1</v>
      </c>
      <c r="E5" s="2">
        <f>B5/D5</f>
        <v>0.74142857142857144</v>
      </c>
      <c r="F5" s="2">
        <f>C5/D5</f>
        <v>0.22</v>
      </c>
    </row>
    <row r="6" spans="1:6" x14ac:dyDescent="0.25">
      <c r="A6" t="s">
        <v>82</v>
      </c>
      <c r="B6" s="2">
        <f>source_data!E8</f>
        <v>0.44857142857142857</v>
      </c>
      <c r="C6" s="2">
        <f>source_data!F8</f>
        <v>0.24285714285714285</v>
      </c>
      <c r="D6" s="2">
        <v>1</v>
      </c>
      <c r="E6" s="2">
        <f t="shared" ref="E6:E7" si="1">B6/D6</f>
        <v>0.44857142857142857</v>
      </c>
      <c r="F6" s="2">
        <f t="shared" ref="F6:F7" si="2">C6/D6</f>
        <v>0.24285714285714285</v>
      </c>
    </row>
    <row r="7" spans="1:6" x14ac:dyDescent="0.25">
      <c r="A7" t="s">
        <v>85</v>
      </c>
      <c r="B7" s="2">
        <f>source_data!E9</f>
        <v>0.35000000000000003</v>
      </c>
      <c r="C7" s="2">
        <f>source_data!F9</f>
        <v>0.22714285714285715</v>
      </c>
      <c r="D7" s="2">
        <v>1</v>
      </c>
      <c r="E7" s="2">
        <f t="shared" si="1"/>
        <v>0.35000000000000003</v>
      </c>
      <c r="F7" s="2">
        <f t="shared" si="2"/>
        <v>0.22714285714285715</v>
      </c>
    </row>
    <row r="8" spans="1:6" x14ac:dyDescent="0.25">
      <c r="A8" t="s">
        <v>86</v>
      </c>
      <c r="B8" t="s">
        <v>92</v>
      </c>
    </row>
    <row r="9" spans="1:6" x14ac:dyDescent="0.25">
      <c r="A9" t="s">
        <v>47</v>
      </c>
      <c r="B9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A63B-8F45-4FF0-9A5F-7ED4FA8CF17E}">
  <dimension ref="A1:E26"/>
  <sheetViews>
    <sheetView topLeftCell="A10" workbookViewId="0">
      <selection activeCell="C15" sqref="C15"/>
    </sheetView>
  </sheetViews>
  <sheetFormatPr defaultRowHeight="15" x14ac:dyDescent="0.25"/>
  <cols>
    <col min="1" max="1" width="23.28515625" customWidth="1"/>
    <col min="2" max="2" width="24.28515625" customWidth="1"/>
    <col min="4" max="4" width="8.5703125" customWidth="1"/>
  </cols>
  <sheetData>
    <row r="1" spans="1:5" x14ac:dyDescent="0.25">
      <c r="A1" t="s">
        <v>80</v>
      </c>
      <c r="B1" t="s">
        <v>81</v>
      </c>
      <c r="C1" t="s">
        <v>79</v>
      </c>
      <c r="D1" t="s">
        <v>94</v>
      </c>
      <c r="E1" t="s">
        <v>64</v>
      </c>
    </row>
    <row r="2" spans="1:5" x14ac:dyDescent="0.25">
      <c r="A2" t="s">
        <v>78</v>
      </c>
      <c r="B2" t="s">
        <v>14</v>
      </c>
      <c r="C2" s="2">
        <v>0.46100000000000002</v>
      </c>
      <c r="D2" s="2">
        <f>C2/ SUM($C$2:$C$4)</f>
        <v>0.2269817823732152</v>
      </c>
      <c r="E2">
        <f>sources!$A$2</f>
        <v>1</v>
      </c>
    </row>
    <row r="3" spans="1:5" x14ac:dyDescent="0.25">
      <c r="A3" t="s">
        <v>78</v>
      </c>
      <c r="B3" t="s">
        <v>15</v>
      </c>
      <c r="C3" s="2">
        <v>0.96899999999999997</v>
      </c>
      <c r="D3" s="2">
        <f t="shared" ref="D3:D4" si="0">C3/ SUM($C$2:$C$4)</f>
        <v>0.47710487444608574</v>
      </c>
      <c r="E3">
        <f>sources!$A$2</f>
        <v>1</v>
      </c>
    </row>
    <row r="4" spans="1:5" x14ac:dyDescent="0.25">
      <c r="A4" t="s">
        <v>78</v>
      </c>
      <c r="B4" t="s">
        <v>16</v>
      </c>
      <c r="C4" s="2">
        <v>0.60099999999999998</v>
      </c>
      <c r="D4" s="2">
        <f t="shared" si="0"/>
        <v>0.29591334318069917</v>
      </c>
      <c r="E4">
        <f>sources!$A$2</f>
        <v>1</v>
      </c>
    </row>
    <row r="5" spans="1:5" x14ac:dyDescent="0.25">
      <c r="A5" t="s">
        <v>87</v>
      </c>
      <c r="B5" t="s">
        <v>20</v>
      </c>
      <c r="C5" s="2">
        <v>1</v>
      </c>
      <c r="D5" s="2">
        <v>1</v>
      </c>
    </row>
    <row r="6" spans="1:5" x14ac:dyDescent="0.25">
      <c r="A6" t="s">
        <v>29</v>
      </c>
      <c r="B6" t="s">
        <v>17</v>
      </c>
      <c r="C6" s="2">
        <v>0.59099999999999997</v>
      </c>
      <c r="D6" s="2">
        <f>C6/SUM($C$6:$C$9)</f>
        <v>0.18354037267080744</v>
      </c>
      <c r="E6">
        <f>sources!$A$2</f>
        <v>1</v>
      </c>
    </row>
    <row r="7" spans="1:5" x14ac:dyDescent="0.25">
      <c r="A7" t="s">
        <v>29</v>
      </c>
      <c r="B7" t="s">
        <v>18</v>
      </c>
      <c r="C7" s="2">
        <v>0.86799999999999999</v>
      </c>
      <c r="D7" s="2">
        <f>C7/SUM($C$6:$C$9)</f>
        <v>0.26956521739130435</v>
      </c>
      <c r="E7">
        <f>sources!$A$2</f>
        <v>1</v>
      </c>
    </row>
    <row r="8" spans="1:5" x14ac:dyDescent="0.25">
      <c r="A8" t="s">
        <v>29</v>
      </c>
      <c r="B8" t="s">
        <v>60</v>
      </c>
      <c r="C8" s="2">
        <v>0.85499999999999998</v>
      </c>
      <c r="D8" s="2">
        <f>C8/SUM($C$6:$C$9)</f>
        <v>0.26552795031055898</v>
      </c>
      <c r="E8">
        <f>sources!$A$2</f>
        <v>1</v>
      </c>
    </row>
    <row r="9" spans="1:5" x14ac:dyDescent="0.25">
      <c r="A9" t="s">
        <v>29</v>
      </c>
      <c r="B9" t="s">
        <v>19</v>
      </c>
      <c r="C9" s="2">
        <v>0.90600000000000003</v>
      </c>
      <c r="D9" s="2">
        <f>C9/SUM($C$6:$C$9)</f>
        <v>0.2813664596273292</v>
      </c>
      <c r="E9">
        <f>sources!$A$2</f>
        <v>1</v>
      </c>
    </row>
    <row r="10" spans="1:5" x14ac:dyDescent="0.25">
      <c r="A10" t="s">
        <v>82</v>
      </c>
      <c r="B10" t="s">
        <v>59</v>
      </c>
      <c r="C10" s="2">
        <v>1</v>
      </c>
      <c r="D10" s="2">
        <v>1</v>
      </c>
    </row>
    <row r="11" spans="1:5" x14ac:dyDescent="0.25">
      <c r="A11" t="s">
        <v>1</v>
      </c>
      <c r="B11" t="s">
        <v>76</v>
      </c>
      <c r="C11" s="2">
        <v>0.20599999999999999</v>
      </c>
      <c r="D11" s="2">
        <f>C11/SUM($C$11:$C$12)</f>
        <v>0.17081260364842454</v>
      </c>
      <c r="E11">
        <v>3</v>
      </c>
    </row>
    <row r="12" spans="1:5" x14ac:dyDescent="0.25">
      <c r="A12" t="s">
        <v>1</v>
      </c>
      <c r="B12" t="s">
        <v>83</v>
      </c>
      <c r="C12" s="2">
        <v>1</v>
      </c>
      <c r="D12" s="2">
        <f>C12/SUM($C$11:$C$12)</f>
        <v>0.82918739635157546</v>
      </c>
    </row>
    <row r="13" spans="1:5" x14ac:dyDescent="0.25">
      <c r="A13" t="s">
        <v>85</v>
      </c>
      <c r="B13" t="s">
        <v>83</v>
      </c>
      <c r="C13" s="2">
        <v>1</v>
      </c>
      <c r="D13" s="2">
        <v>1</v>
      </c>
    </row>
    <row r="14" spans="1:5" x14ac:dyDescent="0.25">
      <c r="A14" t="s">
        <v>86</v>
      </c>
      <c r="B14" t="s">
        <v>84</v>
      </c>
      <c r="C14" s="2">
        <v>1</v>
      </c>
      <c r="D14" s="2">
        <v>1</v>
      </c>
    </row>
    <row r="15" spans="1:5" x14ac:dyDescent="0.25">
      <c r="A15" t="s">
        <v>107</v>
      </c>
      <c r="B15" t="s">
        <v>29</v>
      </c>
      <c r="C15" s="2">
        <v>0.5</v>
      </c>
      <c r="D15" s="2">
        <f>C15/SUM($C$15:$C$16)</f>
        <v>0.5</v>
      </c>
    </row>
    <row r="16" spans="1:5" x14ac:dyDescent="0.25">
      <c r="A16" t="s">
        <v>107</v>
      </c>
      <c r="B16" t="s">
        <v>82</v>
      </c>
      <c r="C16" s="2">
        <v>0.5</v>
      </c>
      <c r="D16" s="2">
        <f>C16/SUM($C$15:$C$16)</f>
        <v>0.5</v>
      </c>
    </row>
    <row r="17" spans="1:5" x14ac:dyDescent="0.25">
      <c r="A17" t="s">
        <v>75</v>
      </c>
      <c r="B17" t="s">
        <v>78</v>
      </c>
      <c r="C17" s="2">
        <v>0.189</v>
      </c>
      <c r="D17" s="2">
        <f>C17/SUM($C$17:$C$20)</f>
        <v>0.22393364928909951</v>
      </c>
      <c r="E17">
        <f>sources!$A$4</f>
        <v>3</v>
      </c>
    </row>
    <row r="18" spans="1:5" x14ac:dyDescent="0.25">
      <c r="A18" t="s">
        <v>75</v>
      </c>
      <c r="B18" t="s">
        <v>87</v>
      </c>
      <c r="C18" s="2">
        <v>0.30299999999999999</v>
      </c>
      <c r="D18" s="2">
        <f>C18/SUM($C$17:$C$20)</f>
        <v>0.35900473933649285</v>
      </c>
      <c r="E18">
        <f>sources!$A$4</f>
        <v>3</v>
      </c>
    </row>
    <row r="19" spans="1:5" x14ac:dyDescent="0.25">
      <c r="A19" t="s">
        <v>75</v>
      </c>
      <c r="B19" t="s">
        <v>108</v>
      </c>
      <c r="C19" s="2">
        <v>0.16800000000000001</v>
      </c>
      <c r="D19" s="2">
        <f>C19/SUM($C$17:$C$20)</f>
        <v>0.1990521327014218</v>
      </c>
      <c r="E19">
        <f>sources!$A$4</f>
        <v>3</v>
      </c>
    </row>
    <row r="20" spans="1:5" x14ac:dyDescent="0.25">
      <c r="A20" t="s">
        <v>75</v>
      </c>
      <c r="B20" t="s">
        <v>109</v>
      </c>
      <c r="C20" s="2">
        <v>0.184</v>
      </c>
      <c r="D20" s="2">
        <f>C20/SUM($C$17:$C$20)</f>
        <v>0.21800947867298576</v>
      </c>
      <c r="E20">
        <f>sources!$A$4</f>
        <v>3</v>
      </c>
    </row>
    <row r="21" spans="1:5" x14ac:dyDescent="0.25">
      <c r="A21" t="s">
        <v>95</v>
      </c>
      <c r="B21" t="s">
        <v>107</v>
      </c>
      <c r="C21" s="2">
        <v>0.5</v>
      </c>
      <c r="D21" s="2">
        <f>C21/SUM($C$21:$C$22)</f>
        <v>0.5</v>
      </c>
    </row>
    <row r="22" spans="1:5" x14ac:dyDescent="0.25">
      <c r="A22" t="s">
        <v>95</v>
      </c>
      <c r="B22" t="s">
        <v>77</v>
      </c>
      <c r="C22" s="2">
        <v>0.5</v>
      </c>
      <c r="D22" s="2">
        <f>C22/SUM($C$21:$C$22)</f>
        <v>0.5</v>
      </c>
    </row>
    <row r="23" spans="1:5" x14ac:dyDescent="0.25">
      <c r="A23" t="s">
        <v>28</v>
      </c>
      <c r="B23" t="s">
        <v>75</v>
      </c>
      <c r="C23" s="2">
        <v>0.47</v>
      </c>
      <c r="D23" s="2">
        <f>C23/SUM($C$23:$C$26)</f>
        <v>0.31951053704962606</v>
      </c>
      <c r="E23">
        <f>sources!$A$4</f>
        <v>3</v>
      </c>
    </row>
    <row r="24" spans="1:5" x14ac:dyDescent="0.25">
      <c r="A24" t="s">
        <v>28</v>
      </c>
      <c r="B24" t="s">
        <v>77</v>
      </c>
      <c r="C24" s="2">
        <v>0.40400000000000003</v>
      </c>
      <c r="D24" s="2">
        <f>C24/SUM($C$23:$C$26)</f>
        <v>0.27464309993201902</v>
      </c>
      <c r="E24">
        <f>sources!$A$4</f>
        <v>3</v>
      </c>
    </row>
    <row r="25" spans="1:5" x14ac:dyDescent="0.25">
      <c r="A25" t="s">
        <v>28</v>
      </c>
      <c r="B25" t="s">
        <v>1</v>
      </c>
      <c r="C25" s="2">
        <v>9.7000000000000003E-2</v>
      </c>
      <c r="D25" s="2">
        <f>C25/SUM($C$23:$C$26)</f>
        <v>6.594153636981645E-2</v>
      </c>
      <c r="E25">
        <f>sources!$A$4</f>
        <v>3</v>
      </c>
    </row>
    <row r="26" spans="1:5" x14ac:dyDescent="0.25">
      <c r="A26" t="s">
        <v>28</v>
      </c>
      <c r="B26" t="s">
        <v>95</v>
      </c>
      <c r="C26" s="2">
        <v>0.5</v>
      </c>
      <c r="D26" s="2">
        <f>C26/SUM($C$23:$C$26)</f>
        <v>0.33990482664853838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32D8-0BA9-4425-B509-CC7F5584808F}">
  <dimension ref="A1:H8"/>
  <sheetViews>
    <sheetView tabSelected="1" workbookViewId="0">
      <selection activeCell="A8" sqref="A8:I8"/>
    </sheetView>
  </sheetViews>
  <sheetFormatPr defaultRowHeight="15" x14ac:dyDescent="0.25"/>
  <cols>
    <col min="1" max="1" width="21.85546875" customWidth="1"/>
  </cols>
  <sheetData>
    <row r="1" spans="1:8" x14ac:dyDescent="0.25">
      <c r="B1" t="s">
        <v>28</v>
      </c>
      <c r="C1" t="s">
        <v>29</v>
      </c>
      <c r="D1" t="s">
        <v>78</v>
      </c>
      <c r="E1" t="s">
        <v>87</v>
      </c>
      <c r="F1" t="s">
        <v>82</v>
      </c>
      <c r="G1" t="s">
        <v>85</v>
      </c>
      <c r="H1" t="s">
        <v>82</v>
      </c>
    </row>
    <row r="2" spans="1:8" x14ac:dyDescent="0.25">
      <c r="A2" t="s">
        <v>28</v>
      </c>
      <c r="B2">
        <v>1</v>
      </c>
    </row>
    <row r="3" spans="1:8" x14ac:dyDescent="0.25">
      <c r="A3" t="s">
        <v>29</v>
      </c>
      <c r="B3">
        <v>0.42</v>
      </c>
      <c r="C3">
        <v>1</v>
      </c>
    </row>
    <row r="4" spans="1:8" x14ac:dyDescent="0.25">
      <c r="A4" t="s">
        <v>78</v>
      </c>
      <c r="B4">
        <v>0.47</v>
      </c>
      <c r="C4">
        <v>0.4</v>
      </c>
      <c r="D4">
        <v>1</v>
      </c>
    </row>
    <row r="5" spans="1:8" x14ac:dyDescent="0.25">
      <c r="A5" t="s">
        <v>87</v>
      </c>
      <c r="B5">
        <v>0.43</v>
      </c>
      <c r="C5">
        <v>0.23</v>
      </c>
      <c r="D5">
        <v>0.26</v>
      </c>
      <c r="E5">
        <v>1</v>
      </c>
    </row>
    <row r="6" spans="1:8" x14ac:dyDescent="0.25">
      <c r="A6" t="s">
        <v>82</v>
      </c>
      <c r="B6" s="3">
        <v>0.3</v>
      </c>
      <c r="C6" s="3">
        <v>0.4</v>
      </c>
      <c r="D6" s="3">
        <v>0.4</v>
      </c>
      <c r="E6" s="3">
        <v>0.4</v>
      </c>
      <c r="F6">
        <v>1</v>
      </c>
    </row>
    <row r="7" spans="1:8" x14ac:dyDescent="0.25">
      <c r="A7" t="s">
        <v>85</v>
      </c>
      <c r="B7" s="3">
        <v>0.6</v>
      </c>
      <c r="C7" s="3">
        <v>0.4</v>
      </c>
      <c r="D7" s="3">
        <v>0.4</v>
      </c>
      <c r="E7" s="3">
        <v>0.4</v>
      </c>
      <c r="F7" s="3">
        <v>0.4</v>
      </c>
      <c r="G7">
        <v>1</v>
      </c>
    </row>
    <row r="8" spans="1:8" x14ac:dyDescent="0.25">
      <c r="B8">
        <v>0</v>
      </c>
      <c r="C8">
        <v>0.5</v>
      </c>
      <c r="D8">
        <v>0.5</v>
      </c>
      <c r="E8">
        <v>0.4</v>
      </c>
      <c r="H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E1BF-C2F7-4663-8D71-BD7975399B57}">
  <dimension ref="A1:J18"/>
  <sheetViews>
    <sheetView workbookViewId="0">
      <selection activeCell="K11" sqref="K11"/>
    </sheetView>
  </sheetViews>
  <sheetFormatPr defaultRowHeight="15" x14ac:dyDescent="0.25"/>
  <cols>
    <col min="1" max="1" width="27.140625" customWidth="1"/>
  </cols>
  <sheetData>
    <row r="1" spans="1:10" x14ac:dyDescent="0.25">
      <c r="A1" t="s">
        <v>0</v>
      </c>
      <c r="B1" t="s">
        <v>2</v>
      </c>
      <c r="C1" t="s">
        <v>13</v>
      </c>
      <c r="D1" t="s">
        <v>21</v>
      </c>
      <c r="E1" t="s">
        <v>22</v>
      </c>
      <c r="F1" t="s">
        <v>23</v>
      </c>
      <c r="G1" t="s">
        <v>3</v>
      </c>
      <c r="H1" t="s">
        <v>79</v>
      </c>
      <c r="I1" t="s">
        <v>88</v>
      </c>
    </row>
    <row r="2" spans="1:10" x14ac:dyDescent="0.25">
      <c r="A2" t="s">
        <v>28</v>
      </c>
      <c r="B2">
        <v>3.39</v>
      </c>
      <c r="C2">
        <v>0.98</v>
      </c>
      <c r="D2">
        <v>5</v>
      </c>
      <c r="E2">
        <f t="shared" ref="E2:F6" si="0">B2/$D2</f>
        <v>0.67800000000000005</v>
      </c>
      <c r="F2">
        <f t="shared" si="0"/>
        <v>0.19600000000000001</v>
      </c>
      <c r="G2">
        <f>sources!$A$2</f>
        <v>1</v>
      </c>
    </row>
    <row r="3" spans="1:10" x14ac:dyDescent="0.25">
      <c r="A3" t="s">
        <v>17</v>
      </c>
      <c r="B3">
        <f>5.45</f>
        <v>5.45</v>
      </c>
      <c r="C3">
        <f>1.55</f>
        <v>1.55</v>
      </c>
      <c r="D3">
        <v>7</v>
      </c>
      <c r="E3">
        <f t="shared" si="0"/>
        <v>0.77857142857142858</v>
      </c>
      <c r="F3">
        <f t="shared" si="0"/>
        <v>0.22142857142857145</v>
      </c>
      <c r="G3">
        <f>sources!$A$2</f>
        <v>1</v>
      </c>
      <c r="H3">
        <v>0.59099999999999997</v>
      </c>
      <c r="I3" t="s">
        <v>29</v>
      </c>
    </row>
    <row r="4" spans="1:10" x14ac:dyDescent="0.25">
      <c r="A4" t="s">
        <v>18</v>
      </c>
      <c r="B4">
        <f>4.1</f>
        <v>4.0999999999999996</v>
      </c>
      <c r="C4">
        <f>0.98</f>
        <v>0.98</v>
      </c>
      <c r="D4">
        <v>5</v>
      </c>
      <c r="E4">
        <f t="shared" si="0"/>
        <v>0.82</v>
      </c>
      <c r="F4">
        <f t="shared" si="0"/>
        <v>0.19600000000000001</v>
      </c>
      <c r="G4">
        <f>sources!$A$2</f>
        <v>1</v>
      </c>
      <c r="H4">
        <v>0.86799999999999999</v>
      </c>
      <c r="I4" t="s">
        <v>29</v>
      </c>
    </row>
    <row r="5" spans="1:10" x14ac:dyDescent="0.25">
      <c r="A5" t="s">
        <v>60</v>
      </c>
      <c r="B5">
        <f>4.06</f>
        <v>4.0599999999999996</v>
      </c>
      <c r="C5">
        <f>0.99</f>
        <v>0.99</v>
      </c>
      <c r="D5">
        <v>5</v>
      </c>
      <c r="E5">
        <f t="shared" si="0"/>
        <v>0.81199999999999994</v>
      </c>
      <c r="F5">
        <f t="shared" si="0"/>
        <v>0.19800000000000001</v>
      </c>
      <c r="G5">
        <f>sources!$A$2</f>
        <v>1</v>
      </c>
      <c r="H5">
        <v>0.85499999999999998</v>
      </c>
      <c r="I5" t="s">
        <v>29</v>
      </c>
    </row>
    <row r="6" spans="1:10" x14ac:dyDescent="0.25">
      <c r="A6" t="s">
        <v>19</v>
      </c>
      <c r="B6">
        <f>4.25</f>
        <v>4.25</v>
      </c>
      <c r="C6">
        <f>0.91</f>
        <v>0.91</v>
      </c>
      <c r="D6">
        <v>5</v>
      </c>
      <c r="E6">
        <f t="shared" si="0"/>
        <v>0.85</v>
      </c>
      <c r="F6">
        <f t="shared" si="0"/>
        <v>0.182</v>
      </c>
      <c r="G6">
        <f>sources!$A$2</f>
        <v>1</v>
      </c>
      <c r="H6">
        <v>0.90600000000000003</v>
      </c>
      <c r="I6" t="s">
        <v>29</v>
      </c>
    </row>
    <row r="7" spans="1:10" x14ac:dyDescent="0.25">
      <c r="A7" t="s">
        <v>61</v>
      </c>
      <c r="B7">
        <v>3.67</v>
      </c>
      <c r="C7">
        <v>1.1399999999999999</v>
      </c>
      <c r="D7">
        <v>5</v>
      </c>
      <c r="E7">
        <f t="shared" ref="E7:E18" si="1">B7/$D7</f>
        <v>0.73399999999999999</v>
      </c>
      <c r="F7">
        <f t="shared" ref="F7" si="2">C7/$D7</f>
        <v>0.22799999999999998</v>
      </c>
      <c r="G7">
        <f>sources!$A$2</f>
        <v>1</v>
      </c>
      <c r="J7" t="s">
        <v>63</v>
      </c>
    </row>
    <row r="8" spans="1:10" x14ac:dyDescent="0.25">
      <c r="A8" t="s">
        <v>59</v>
      </c>
      <c r="B8">
        <v>3.14</v>
      </c>
      <c r="C8">
        <v>1.7</v>
      </c>
      <c r="D8">
        <v>7</v>
      </c>
      <c r="E8">
        <f t="shared" si="1"/>
        <v>0.44857142857142857</v>
      </c>
      <c r="F8">
        <f t="shared" ref="F8" si="3">C8/$D8</f>
        <v>0.24285714285714285</v>
      </c>
      <c r="G8">
        <f>sources!$A$2</f>
        <v>1</v>
      </c>
    </row>
    <row r="9" spans="1:10" x14ac:dyDescent="0.25">
      <c r="A9" t="s">
        <v>27</v>
      </c>
      <c r="B9">
        <v>2.4500000000000002</v>
      </c>
      <c r="C9">
        <v>1.59</v>
      </c>
      <c r="D9">
        <v>7</v>
      </c>
      <c r="E9">
        <f t="shared" si="1"/>
        <v>0.35000000000000003</v>
      </c>
      <c r="F9">
        <f>C9/$D9</f>
        <v>0.22714285714285715</v>
      </c>
      <c r="G9">
        <f>sources!$A$2</f>
        <v>1</v>
      </c>
    </row>
    <row r="10" spans="1:10" x14ac:dyDescent="0.25">
      <c r="A10" t="s">
        <v>11</v>
      </c>
      <c r="B10">
        <f>3.8</f>
        <v>3.8</v>
      </c>
      <c r="C10">
        <f>1.72</f>
        <v>1.72</v>
      </c>
      <c r="D10">
        <v>7</v>
      </c>
      <c r="E10">
        <f t="shared" si="1"/>
        <v>0.54285714285714282</v>
      </c>
      <c r="F10">
        <f>C10/$D10</f>
        <v>0.24571428571428572</v>
      </c>
      <c r="G10">
        <f>sources!$A$2</f>
        <v>1</v>
      </c>
    </row>
    <row r="11" spans="1:10" x14ac:dyDescent="0.25">
      <c r="A11" t="s">
        <v>62</v>
      </c>
      <c r="B11">
        <v>3.67</v>
      </c>
      <c r="C11">
        <v>1.1399999999999999</v>
      </c>
      <c r="D11">
        <v>5</v>
      </c>
      <c r="E11">
        <f t="shared" si="1"/>
        <v>0.73399999999999999</v>
      </c>
      <c r="F11">
        <f t="shared" ref="F11" si="4">C11/$D11</f>
        <v>0.22799999999999998</v>
      </c>
      <c r="G11">
        <f>sources!$A$2</f>
        <v>1</v>
      </c>
      <c r="J11" t="s">
        <v>63</v>
      </c>
    </row>
    <row r="12" spans="1:10" x14ac:dyDescent="0.25">
      <c r="A12" t="s">
        <v>25</v>
      </c>
      <c r="B12">
        <v>3.62</v>
      </c>
      <c r="C12">
        <v>1.87</v>
      </c>
      <c r="D12">
        <v>7</v>
      </c>
      <c r="E12">
        <f t="shared" si="1"/>
        <v>0.51714285714285713</v>
      </c>
      <c r="F12">
        <f>C12/$D12</f>
        <v>0.26714285714285718</v>
      </c>
      <c r="G12">
        <f>sources!$A$2</f>
        <v>1</v>
      </c>
    </row>
    <row r="13" spans="1:10" x14ac:dyDescent="0.25">
      <c r="A13" t="s">
        <v>26</v>
      </c>
      <c r="B13">
        <v>3.25</v>
      </c>
      <c r="C13">
        <v>1.17</v>
      </c>
      <c r="D13">
        <v>5</v>
      </c>
      <c r="E13">
        <f t="shared" si="1"/>
        <v>0.65</v>
      </c>
      <c r="F13">
        <f>C13/$D13</f>
        <v>0.23399999999999999</v>
      </c>
      <c r="G13">
        <f>sources!$A$2</f>
        <v>1</v>
      </c>
    </row>
    <row r="14" spans="1:10" x14ac:dyDescent="0.25">
      <c r="A14" t="s">
        <v>14</v>
      </c>
      <c r="B14">
        <f>3.82</f>
        <v>3.82</v>
      </c>
      <c r="C14">
        <f>1.242</f>
        <v>1.242</v>
      </c>
      <c r="D14">
        <v>5</v>
      </c>
      <c r="E14">
        <f t="shared" si="1"/>
        <v>0.76400000000000001</v>
      </c>
      <c r="F14">
        <f t="shared" ref="F14:F16" si="5">C14/$D14</f>
        <v>0.24840000000000001</v>
      </c>
      <c r="G14">
        <f>sources!$A$2</f>
        <v>1</v>
      </c>
      <c r="H14">
        <v>0.46100000000000002</v>
      </c>
      <c r="I14" t="s">
        <v>78</v>
      </c>
    </row>
    <row r="15" spans="1:10" x14ac:dyDescent="0.25">
      <c r="A15" t="s">
        <v>15</v>
      </c>
      <c r="B15">
        <f>2.94</f>
        <v>2.94</v>
      </c>
      <c r="C15">
        <f>1.295</f>
        <v>1.2949999999999999</v>
      </c>
      <c r="D15">
        <v>5</v>
      </c>
      <c r="E15">
        <f t="shared" si="1"/>
        <v>0.58799999999999997</v>
      </c>
      <c r="F15">
        <f t="shared" si="5"/>
        <v>0.25900000000000001</v>
      </c>
      <c r="G15">
        <f>sources!$A$2</f>
        <v>1</v>
      </c>
      <c r="H15">
        <v>0.96899999999999997</v>
      </c>
      <c r="I15" t="s">
        <v>78</v>
      </c>
    </row>
    <row r="16" spans="1:10" x14ac:dyDescent="0.25">
      <c r="A16" t="s">
        <v>16</v>
      </c>
      <c r="B16">
        <f>2.71</f>
        <v>2.71</v>
      </c>
      <c r="C16">
        <f>1.25</f>
        <v>1.25</v>
      </c>
      <c r="D16">
        <v>5</v>
      </c>
      <c r="E16">
        <f t="shared" si="1"/>
        <v>0.54200000000000004</v>
      </c>
      <c r="F16">
        <f t="shared" si="5"/>
        <v>0.25</v>
      </c>
      <c r="G16">
        <f>sources!$A$2</f>
        <v>1</v>
      </c>
      <c r="H16">
        <v>0.60099999999999998</v>
      </c>
      <c r="I16" t="s">
        <v>78</v>
      </c>
    </row>
    <row r="17" spans="1:7" x14ac:dyDescent="0.25">
      <c r="A17" t="s">
        <v>20</v>
      </c>
      <c r="B17">
        <f>5.19</f>
        <v>5.19</v>
      </c>
      <c r="C17">
        <f>1.54</f>
        <v>1.54</v>
      </c>
      <c r="D17">
        <v>7</v>
      </c>
      <c r="E17">
        <f t="shared" si="1"/>
        <v>0.74142857142857144</v>
      </c>
      <c r="F17">
        <f>C17/$D17</f>
        <v>0.22</v>
      </c>
      <c r="G17">
        <f>sources!$A$2</f>
        <v>1</v>
      </c>
    </row>
    <row r="18" spans="1:7" x14ac:dyDescent="0.25">
      <c r="A18" t="s">
        <v>24</v>
      </c>
      <c r="B18">
        <v>3.67</v>
      </c>
      <c r="C18">
        <v>1.1399999999999999</v>
      </c>
      <c r="D18">
        <v>5</v>
      </c>
      <c r="E18">
        <f t="shared" si="1"/>
        <v>0.73399999999999999</v>
      </c>
      <c r="F18">
        <f>C18/$D18</f>
        <v>0.22799999999999998</v>
      </c>
      <c r="G18">
        <f>sources!$A$2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FD6B-E6B1-4A3E-AEC6-1B0A088B4EBA}">
  <dimension ref="A1:F6"/>
  <sheetViews>
    <sheetView workbookViewId="0"/>
  </sheetViews>
  <sheetFormatPr defaultRowHeight="15" x14ac:dyDescent="0.25"/>
  <cols>
    <col min="1" max="1" width="5.85546875" customWidth="1"/>
    <col min="2" max="2" width="14.7109375" customWidth="1"/>
    <col min="3" max="3" width="9.7109375" customWidth="1"/>
    <col min="4" max="4" width="14" customWidth="1"/>
    <col min="5" max="5" width="107.28515625" customWidth="1"/>
  </cols>
  <sheetData>
    <row r="1" spans="1:6" x14ac:dyDescent="0.25">
      <c r="A1" t="s">
        <v>5</v>
      </c>
      <c r="B1" t="s">
        <v>6</v>
      </c>
      <c r="C1" t="s">
        <v>105</v>
      </c>
      <c r="D1" t="s">
        <v>106</v>
      </c>
      <c r="E1" t="s">
        <v>7</v>
      </c>
      <c r="F1" t="s">
        <v>8</v>
      </c>
    </row>
    <row r="2" spans="1:6" x14ac:dyDescent="0.25">
      <c r="A2">
        <v>1</v>
      </c>
      <c r="B2" t="s">
        <v>10</v>
      </c>
      <c r="C2">
        <v>2018</v>
      </c>
      <c r="D2" t="s">
        <v>103</v>
      </c>
      <c r="E2" t="s">
        <v>4</v>
      </c>
      <c r="F2" t="s">
        <v>9</v>
      </c>
    </row>
    <row r="3" spans="1:6" x14ac:dyDescent="0.25">
      <c r="A3">
        <v>2</v>
      </c>
      <c r="B3" t="s">
        <v>51</v>
      </c>
      <c r="C3">
        <v>2019</v>
      </c>
      <c r="D3" t="s">
        <v>99</v>
      </c>
      <c r="E3" t="s">
        <v>52</v>
      </c>
      <c r="F3" t="s">
        <v>53</v>
      </c>
    </row>
    <row r="4" spans="1:6" x14ac:dyDescent="0.25">
      <c r="A4">
        <v>3</v>
      </c>
      <c r="B4" t="s">
        <v>101</v>
      </c>
      <c r="C4">
        <v>2021</v>
      </c>
      <c r="D4" t="s">
        <v>99</v>
      </c>
      <c r="E4" t="s">
        <v>100</v>
      </c>
      <c r="F4" t="s">
        <v>102</v>
      </c>
    </row>
    <row r="5" spans="1:6" x14ac:dyDescent="0.25">
      <c r="A5">
        <v>4</v>
      </c>
      <c r="B5" t="s">
        <v>98</v>
      </c>
      <c r="C5">
        <v>2020</v>
      </c>
      <c r="D5" t="s">
        <v>99</v>
      </c>
      <c r="E5" t="s">
        <v>96</v>
      </c>
      <c r="F5" t="s">
        <v>97</v>
      </c>
    </row>
    <row r="6" spans="1:6" x14ac:dyDescent="0.25">
      <c r="A6">
        <v>5</v>
      </c>
      <c r="B6" t="s">
        <v>49</v>
      </c>
      <c r="C6">
        <v>2017</v>
      </c>
      <c r="D6" t="s">
        <v>104</v>
      </c>
      <c r="E6" t="s">
        <v>48</v>
      </c>
      <c r="F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8631-75B4-44F4-A1D9-F89D31ED0FA6}">
  <dimension ref="A1:D19"/>
  <sheetViews>
    <sheetView workbookViewId="0"/>
  </sheetViews>
  <sheetFormatPr defaultRowHeight="15" x14ac:dyDescent="0.25"/>
  <cols>
    <col min="1" max="1" width="32.7109375" customWidth="1"/>
  </cols>
  <sheetData>
    <row r="1" spans="1:4" x14ac:dyDescent="0.25">
      <c r="A1" t="s">
        <v>58</v>
      </c>
      <c r="B1" t="s">
        <v>34</v>
      </c>
      <c r="C1" t="s">
        <v>35</v>
      </c>
    </row>
    <row r="2" spans="1:4" x14ac:dyDescent="0.25">
      <c r="A2" t="s">
        <v>54</v>
      </c>
      <c r="B2">
        <v>2.48</v>
      </c>
      <c r="C2">
        <f>B2/5</f>
        <v>0.496</v>
      </c>
    </row>
    <row r="3" spans="1:4" x14ac:dyDescent="0.25">
      <c r="A3" s="1" t="s">
        <v>29</v>
      </c>
      <c r="B3">
        <v>0.151</v>
      </c>
      <c r="C3">
        <v>0.14899999999999999</v>
      </c>
      <c r="D3" t="s">
        <v>30</v>
      </c>
    </row>
    <row r="4" spans="1:4" x14ac:dyDescent="0.25">
      <c r="A4" s="1" t="s">
        <v>31</v>
      </c>
      <c r="B4">
        <v>0.66</v>
      </c>
      <c r="C4">
        <v>6.6000000000000003E-2</v>
      </c>
      <c r="D4" t="s">
        <v>33</v>
      </c>
    </row>
    <row r="5" spans="1:4" x14ac:dyDescent="0.25">
      <c r="A5" s="1" t="s">
        <v>32</v>
      </c>
      <c r="B5">
        <v>0.308</v>
      </c>
      <c r="C5">
        <v>0.152</v>
      </c>
      <c r="D5" t="s">
        <v>30</v>
      </c>
    </row>
    <row r="6" spans="1:4" x14ac:dyDescent="0.25">
      <c r="A6" s="1" t="s">
        <v>12</v>
      </c>
      <c r="B6">
        <v>0.308</v>
      </c>
      <c r="C6">
        <v>0.27300000000000002</v>
      </c>
      <c r="D6" t="s">
        <v>30</v>
      </c>
    </row>
    <row r="7" spans="1:4" x14ac:dyDescent="0.25">
      <c r="A7" s="1" t="s">
        <v>36</v>
      </c>
      <c r="B7">
        <v>-0.25900000000000001</v>
      </c>
      <c r="C7">
        <v>-0.22800000000000001</v>
      </c>
      <c r="D7" t="s">
        <v>30</v>
      </c>
    </row>
    <row r="8" spans="1:4" x14ac:dyDescent="0.25">
      <c r="A8" t="s">
        <v>37</v>
      </c>
      <c r="B8">
        <v>-1E-3</v>
      </c>
      <c r="C8">
        <v>-8.0000000000000002E-3</v>
      </c>
      <c r="D8" t="s">
        <v>33</v>
      </c>
    </row>
    <row r="9" spans="1:4" x14ac:dyDescent="0.25">
      <c r="A9" t="s">
        <v>38</v>
      </c>
      <c r="B9">
        <v>-0.74</v>
      </c>
      <c r="C9">
        <v>-3.9E-2</v>
      </c>
      <c r="D9" t="s">
        <v>33</v>
      </c>
    </row>
    <row r="10" spans="1:4" x14ac:dyDescent="0.25">
      <c r="A10" t="s">
        <v>39</v>
      </c>
      <c r="B10">
        <v>0.114</v>
      </c>
      <c r="C10">
        <v>0.11700000000000001</v>
      </c>
      <c r="D10" t="s">
        <v>30</v>
      </c>
    </row>
    <row r="11" spans="1:4" x14ac:dyDescent="0.25">
      <c r="A11" t="s">
        <v>40</v>
      </c>
      <c r="B11">
        <v>7.0000000000000001E-3</v>
      </c>
      <c r="C11">
        <v>7.0000000000000001E-3</v>
      </c>
      <c r="D11" t="s">
        <v>33</v>
      </c>
    </row>
    <row r="12" spans="1:4" x14ac:dyDescent="0.25">
      <c r="A12" t="s">
        <v>41</v>
      </c>
      <c r="B12">
        <v>-0.46</v>
      </c>
      <c r="C12">
        <v>-0.21</v>
      </c>
      <c r="D12" t="s">
        <v>33</v>
      </c>
    </row>
    <row r="13" spans="1:4" x14ac:dyDescent="0.25">
      <c r="A13" t="s">
        <v>42</v>
      </c>
      <c r="B13">
        <v>9.8000000000000004E-2</v>
      </c>
      <c r="C13">
        <v>0.13300000000000001</v>
      </c>
      <c r="D13" t="s">
        <v>30</v>
      </c>
    </row>
    <row r="14" spans="1:4" x14ac:dyDescent="0.25">
      <c r="A14" t="s">
        <v>44</v>
      </c>
      <c r="B14">
        <v>0.16200000000000001</v>
      </c>
      <c r="C14">
        <v>6.3E-2</v>
      </c>
      <c r="D14" t="s">
        <v>33</v>
      </c>
    </row>
    <row r="15" spans="1:4" x14ac:dyDescent="0.25">
      <c r="A15" t="s">
        <v>43</v>
      </c>
      <c r="B15">
        <v>-0.14299999999999999</v>
      </c>
      <c r="C15">
        <v>-5.1999999999999998E-2</v>
      </c>
      <c r="D15" t="s">
        <v>33</v>
      </c>
    </row>
    <row r="16" spans="1:4" x14ac:dyDescent="0.25">
      <c r="A16" t="s">
        <v>45</v>
      </c>
      <c r="B16">
        <v>0.17299999999999999</v>
      </c>
      <c r="C16">
        <v>0.09</v>
      </c>
      <c r="D16" t="s">
        <v>30</v>
      </c>
    </row>
    <row r="17" spans="1:4" x14ac:dyDescent="0.25">
      <c r="A17" t="s">
        <v>46</v>
      </c>
      <c r="B17">
        <v>1.2999999999999999E-2</v>
      </c>
      <c r="C17">
        <v>2.1000000000000001E-2</v>
      </c>
      <c r="D17" t="s">
        <v>33</v>
      </c>
    </row>
    <row r="18" spans="1:4" x14ac:dyDescent="0.25">
      <c r="A18" t="s">
        <v>55</v>
      </c>
      <c r="B18">
        <v>0.98</v>
      </c>
      <c r="C18">
        <f>B18/5</f>
        <v>0.19600000000000001</v>
      </c>
      <c r="D18" t="s">
        <v>56</v>
      </c>
    </row>
    <row r="19" spans="1:4" x14ac:dyDescent="0.25">
      <c r="A19" t="s">
        <v>57</v>
      </c>
      <c r="B19">
        <v>3.39</v>
      </c>
      <c r="C19">
        <f>B19/5</f>
        <v>0.67800000000000005</v>
      </c>
      <c r="D1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global_assumptions</vt:lpstr>
      <vt:lpstr>behavioral_variables</vt:lpstr>
      <vt:lpstr>factor_loadings</vt:lpstr>
      <vt:lpstr>correlation_matrix</vt:lpstr>
      <vt:lpstr>source_data</vt:lpstr>
      <vt:lpstr>sources</vt:lpstr>
      <vt:lpstr>regressionAnalysisWeights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2024-07-24T08:31:57Z</dcterms:created>
  <dcterms:modified xsi:type="dcterms:W3CDTF">2024-08-19T16:30:06Z</dcterms:modified>
</cp:coreProperties>
</file>