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results\"/>
    </mc:Choice>
  </mc:AlternateContent>
  <xr:revisionPtr revIDLastSave="0" documentId="13_ncr:1_{C55D5F77-72F8-4524-A75E-BF6FE3DB97D4}" xr6:coauthVersionLast="47" xr6:coauthVersionMax="47" xr10:uidLastSave="{00000000-0000-0000-0000-000000000000}"/>
  <bookViews>
    <workbookView xWindow="-120" yWindow="-120" windowWidth="29040" windowHeight="17640" xr2:uid="{2AD6F2B3-B3D8-4900-A927-DF019433309F}"/>
  </bookViews>
  <sheets>
    <sheet name="summary_statistics" sheetId="1" r:id="rId1"/>
    <sheet name="calibration_statistics" sheetId="2" r:id="rId2"/>
    <sheet name="calibration_statistics_groning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F12" i="3"/>
  <c r="A12" i="3"/>
  <c r="A11" i="3"/>
  <c r="A10" i="3"/>
  <c r="A9" i="3"/>
  <c r="A8" i="3"/>
  <c r="G7" i="3"/>
  <c r="A7" i="3"/>
  <c r="A6" i="3"/>
  <c r="L5" i="3"/>
  <c r="I16" i="3" s="1"/>
  <c r="G5" i="3"/>
  <c r="A5" i="3"/>
  <c r="A4" i="3"/>
  <c r="H3" i="3"/>
  <c r="D3" i="3"/>
  <c r="A3" i="3"/>
  <c r="I1" i="3"/>
  <c r="H1" i="3"/>
  <c r="G1" i="3"/>
  <c r="F1" i="3"/>
  <c r="E1" i="3"/>
  <c r="D1" i="3"/>
  <c r="C1" i="3"/>
  <c r="B1" i="3"/>
  <c r="A1" i="3"/>
  <c r="E2" i="2"/>
  <c r="F2" i="2"/>
  <c r="G2" i="2"/>
  <c r="H2" i="2"/>
  <c r="I2" i="2"/>
  <c r="C2" i="1"/>
  <c r="M2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3" i="1"/>
  <c r="I2" i="1"/>
  <c r="S2" i="1" s="1"/>
  <c r="J3" i="1"/>
  <c r="J2" i="1"/>
  <c r="T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O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Q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P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2" i="3" l="1"/>
  <c r="D10" i="3"/>
  <c r="E10" i="3"/>
  <c r="I2" i="3"/>
  <c r="E3" i="3"/>
  <c r="H7" i="3"/>
  <c r="G12" i="3"/>
  <c r="B8" i="3"/>
  <c r="B13" i="3"/>
  <c r="C4" i="3"/>
  <c r="C8" i="3"/>
  <c r="H4" i="3"/>
  <c r="H14" i="3"/>
  <c r="I9" i="3"/>
  <c r="I14" i="3"/>
  <c r="C2" i="3"/>
  <c r="F5" i="3"/>
  <c r="C15" i="3"/>
  <c r="D15" i="3"/>
  <c r="F2" i="3"/>
  <c r="F3" i="3"/>
  <c r="H5" i="3"/>
  <c r="B6" i="3"/>
  <c r="I7" i="3"/>
  <c r="D8" i="3"/>
  <c r="F10" i="3"/>
  <c r="H12" i="3"/>
  <c r="C13" i="3"/>
  <c r="E15" i="3"/>
  <c r="G3" i="3"/>
  <c r="B4" i="3"/>
  <c r="I5" i="3"/>
  <c r="C6" i="3"/>
  <c r="E8" i="3"/>
  <c r="G10" i="3"/>
  <c r="B11" i="3"/>
  <c r="I12" i="3"/>
  <c r="D13" i="3"/>
  <c r="F15" i="3"/>
  <c r="D6" i="3"/>
  <c r="F8" i="3"/>
  <c r="H10" i="3"/>
  <c r="C11" i="3"/>
  <c r="E13" i="3"/>
  <c r="G15" i="3"/>
  <c r="B16" i="3"/>
  <c r="B2" i="3"/>
  <c r="I3" i="3"/>
  <c r="D4" i="3"/>
  <c r="E6" i="3"/>
  <c r="G8" i="3"/>
  <c r="B9" i="3"/>
  <c r="I10" i="3"/>
  <c r="D11" i="3"/>
  <c r="F13" i="3"/>
  <c r="H15" i="3"/>
  <c r="C16" i="3"/>
  <c r="E4" i="3"/>
  <c r="F6" i="3"/>
  <c r="H8" i="3"/>
  <c r="C9" i="3"/>
  <c r="E11" i="3"/>
  <c r="G13" i="3"/>
  <c r="B14" i="3"/>
  <c r="I15" i="3"/>
  <c r="D16" i="3"/>
  <c r="F4" i="3"/>
  <c r="G6" i="3"/>
  <c r="B7" i="3"/>
  <c r="I8" i="3"/>
  <c r="D9" i="3"/>
  <c r="F11" i="3"/>
  <c r="H13" i="3"/>
  <c r="C14" i="3"/>
  <c r="E16" i="3"/>
  <c r="E2" i="3"/>
  <c r="G4" i="3"/>
  <c r="B5" i="3"/>
  <c r="H6" i="3"/>
  <c r="C7" i="3"/>
  <c r="E9" i="3"/>
  <c r="G11" i="3"/>
  <c r="B12" i="3"/>
  <c r="I13" i="3"/>
  <c r="D14" i="3"/>
  <c r="F16" i="3"/>
  <c r="C5" i="3"/>
  <c r="I6" i="3"/>
  <c r="D7" i="3"/>
  <c r="F9" i="3"/>
  <c r="H11" i="3"/>
  <c r="C12" i="3"/>
  <c r="E14" i="3"/>
  <c r="G16" i="3"/>
  <c r="G2" i="3"/>
  <c r="B3" i="3"/>
  <c r="I4" i="3"/>
  <c r="D5" i="3"/>
  <c r="E7" i="3"/>
  <c r="G9" i="3"/>
  <c r="B10" i="3"/>
  <c r="I11" i="3"/>
  <c r="D12" i="3"/>
  <c r="F14" i="3"/>
  <c r="H16" i="3"/>
  <c r="H2" i="3"/>
  <c r="C3" i="3"/>
  <c r="E5" i="3"/>
  <c r="F7" i="3"/>
  <c r="H9" i="3"/>
  <c r="C10" i="3"/>
  <c r="E12" i="3"/>
  <c r="G14" i="3"/>
  <c r="B15" i="3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H3" i="2" s="1"/>
  <c r="H13" i="1"/>
  <c r="H12" i="1"/>
  <c r="H3" i="1"/>
  <c r="H5" i="1"/>
  <c r="H16" i="1"/>
  <c r="H4" i="1"/>
  <c r="M3" i="1"/>
  <c r="M4" i="1" s="1"/>
  <c r="O3" i="1"/>
  <c r="O4" i="1" s="1"/>
  <c r="H14" i="1"/>
  <c r="H8" i="1"/>
  <c r="T3" i="1"/>
  <c r="I3" i="2" s="1"/>
  <c r="P3" i="1"/>
  <c r="E3" i="2" s="1"/>
  <c r="Q3" i="1"/>
  <c r="F3" i="2" s="1"/>
  <c r="H11" i="1"/>
  <c r="H10" i="1"/>
  <c r="H9" i="1"/>
  <c r="H7" i="1"/>
  <c r="H6" i="1"/>
  <c r="H2" i="1"/>
  <c r="R2" i="1" s="1"/>
  <c r="H15" i="1"/>
  <c r="R3" i="1" l="1"/>
  <c r="S4" i="1"/>
  <c r="S5" i="1" s="1"/>
  <c r="Q4" i="1"/>
  <c r="F4" i="2" s="1"/>
  <c r="P4" i="1"/>
  <c r="P5" i="1" s="1"/>
  <c r="T4" i="1"/>
  <c r="T5" i="1" s="1"/>
  <c r="G3" i="2"/>
  <c r="R4" i="1"/>
  <c r="M5" i="1"/>
  <c r="O5" i="1"/>
  <c r="H4" i="2"/>
  <c r="I4" i="2" l="1"/>
  <c r="Q5" i="1"/>
  <c r="Q6" i="1" s="1"/>
  <c r="E4" i="2"/>
  <c r="G4" i="2"/>
  <c r="R5" i="1"/>
  <c r="S6" i="1"/>
  <c r="H5" i="2"/>
  <c r="T6" i="1"/>
  <c r="I5" i="2"/>
  <c r="P6" i="1"/>
  <c r="E5" i="2"/>
  <c r="O6" i="1"/>
  <c r="M6" i="1"/>
  <c r="F5" i="2" l="1"/>
  <c r="P7" i="1"/>
  <c r="E6" i="2"/>
  <c r="S7" i="1"/>
  <c r="H6" i="2"/>
  <c r="Q7" i="1"/>
  <c r="F6" i="2"/>
  <c r="O7" i="1"/>
  <c r="T7" i="1"/>
  <c r="I6" i="2"/>
  <c r="M7" i="1"/>
  <c r="R6" i="1"/>
  <c r="G5" i="2"/>
  <c r="M8" i="1" l="1"/>
  <c r="Q8" i="1"/>
  <c r="F7" i="2"/>
  <c r="O8" i="1"/>
  <c r="S8" i="1"/>
  <c r="H7" i="2"/>
  <c r="R7" i="1"/>
  <c r="G6" i="2"/>
  <c r="P8" i="1"/>
  <c r="E7" i="2"/>
  <c r="T8" i="1"/>
  <c r="I7" i="2"/>
  <c r="T9" i="1" l="1"/>
  <c r="I8" i="2"/>
  <c r="R8" i="1"/>
  <c r="G7" i="2"/>
  <c r="O9" i="1"/>
  <c r="Q9" i="1"/>
  <c r="F8" i="2"/>
  <c r="M9" i="1"/>
  <c r="P9" i="1"/>
  <c r="E8" i="2"/>
  <c r="S9" i="1"/>
  <c r="H8" i="2"/>
  <c r="Q10" i="1" l="1"/>
  <c r="F9" i="2"/>
  <c r="O10" i="1"/>
  <c r="R9" i="1"/>
  <c r="G8" i="2"/>
  <c r="P10" i="1"/>
  <c r="E9" i="2"/>
  <c r="M10" i="1"/>
  <c r="S10" i="1"/>
  <c r="H9" i="2"/>
  <c r="T10" i="1"/>
  <c r="I9" i="2"/>
  <c r="Q11" i="1" l="1"/>
  <c r="F10" i="2"/>
  <c r="S11" i="1"/>
  <c r="H10" i="2"/>
  <c r="T11" i="1"/>
  <c r="I10" i="2"/>
  <c r="R10" i="1"/>
  <c r="G9" i="2"/>
  <c r="M11" i="1"/>
  <c r="P11" i="1"/>
  <c r="E10" i="2"/>
  <c r="O11" i="1"/>
  <c r="M12" i="1" l="1"/>
  <c r="P12" i="1"/>
  <c r="E11" i="2"/>
  <c r="R11" i="1"/>
  <c r="G10" i="2"/>
  <c r="T12" i="1"/>
  <c r="I11" i="2"/>
  <c r="S12" i="1"/>
  <c r="H11" i="2"/>
  <c r="O12" i="1"/>
  <c r="Q12" i="1"/>
  <c r="F11" i="2"/>
  <c r="S13" i="1" l="1"/>
  <c r="H12" i="2"/>
  <c r="O13" i="1"/>
  <c r="R12" i="1"/>
  <c r="G11" i="2"/>
  <c r="T13" i="1"/>
  <c r="I12" i="2"/>
  <c r="P13" i="1"/>
  <c r="E12" i="2"/>
  <c r="Q13" i="1"/>
  <c r="F12" i="2"/>
  <c r="M13" i="1"/>
  <c r="Q14" i="1" l="1"/>
  <c r="F13" i="2"/>
  <c r="O14" i="1"/>
  <c r="P14" i="1"/>
  <c r="E13" i="2"/>
  <c r="T14" i="1"/>
  <c r="I13" i="2"/>
  <c r="R13" i="1"/>
  <c r="G12" i="2"/>
  <c r="M14" i="1"/>
  <c r="S14" i="1"/>
  <c r="H13" i="2"/>
  <c r="M15" i="1" l="1"/>
  <c r="T15" i="1"/>
  <c r="I14" i="2"/>
  <c r="P15" i="1"/>
  <c r="E14" i="2"/>
  <c r="O15" i="1"/>
  <c r="R14" i="1"/>
  <c r="G13" i="2"/>
  <c r="S15" i="1"/>
  <c r="H14" i="2"/>
  <c r="Q15" i="1"/>
  <c r="F14" i="2"/>
  <c r="O16" i="1" l="1"/>
  <c r="T16" i="1"/>
  <c r="I16" i="2" s="1"/>
  <c r="I15" i="2"/>
  <c r="S16" i="1"/>
  <c r="H16" i="2" s="1"/>
  <c r="H15" i="2"/>
  <c r="P16" i="1"/>
  <c r="E16" i="2" s="1"/>
  <c r="E15" i="2"/>
  <c r="R15" i="1"/>
  <c r="G14" i="2"/>
  <c r="Q16" i="1"/>
  <c r="F16" i="2" s="1"/>
  <c r="F15" i="2"/>
  <c r="M16" i="1"/>
  <c r="R16" i="1" l="1"/>
  <c r="G16" i="2" s="1"/>
  <c r="G15" i="2"/>
</calcChain>
</file>

<file path=xl/sharedStrings.xml><?xml version="1.0" encoding="utf-8"?>
<sst xmlns="http://schemas.openxmlformats.org/spreadsheetml/2006/main" count="23" uniqueCount="14">
  <si>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</si>
  <si>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</si>
  <si>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</si>
  <si>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</si>
  <si>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</si>
  <si>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</si>
  <si>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</si>
  <si>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</si>
  <si>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</si>
  <si>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</si>
  <si>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households groningen</t>
  </si>
  <si>
    <t>households netherlands</t>
  </si>
  <si>
    <t>ratio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</si>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</sst>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6" formatCode="_ * #,##0_ ;_ * \-#,##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 ECs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_ * #,##0_ ;_ * \-#,##0_ ;_ * "-"??_ ;_ @_ 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 Projects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_ * #,##0_ ;_ * \-#,##0_ ;_ * "-"??_ ;_ @_ 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 Installed cap (MW)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_ * #,##0_ ;_ * \-#,##0_ ;_ * "-"??_ ;_ @_ 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 PV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 Wind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 PV Installed cap (MW)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 Wind Installed cap (MW)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 EC Members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_ * #,##0_ ;_ * \-#,##0_ ;_ * "-"??_ ;_ @_ 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607695</xdr:colOff>
      <xdr:row>6</xdr:row>
      <xdr:rowOff>148590</xdr:rowOff>
    </xdr:from>
    <xdr:to>
      <xdr:col>25</xdr:col>
      <xdr:colOff>127635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13</xdr:row>
      <xdr:rowOff>185737</xdr:rowOff>
    </xdr:from>
    <xdr:to>
      <xdr:col>12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/Users/s124129/Documents/GitHub/Energy-community-potential-model/Energy%20community%20potential%20model_calibration/_energy_commun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project_size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T16"/>
  <sheetViews>
    <sheetView tabSelected="1" topLeftCell="B5" zoomScaleNormal="100" workbookViewId="0">
      <selection activeCell="O33" sqref="O33"/>
    </sheetView>
  </sheetViews>
  <sheetFormatPr defaultRowHeight="15" x14ac:dyDescent="0.25"/>
  <cols>
    <col min="13" max="13" width="9.28515625" style="3" bestFit="1" customWidth="1"/>
    <col min="14" max="14" width="11.140625" style="3" bestFit="1" customWidth="1"/>
    <col min="15" max="20" width="9.28515625" style="3" bestFit="1" customWidth="1"/>
  </cols>
  <sheetData>
    <row r="1" spans="1:20" x14ac:dyDescent="0.25">
      <c r="A1" t="s">
        <v>0</v>
      </c>
      <c r="B1" t="s">
        <v>13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s="3" t="s">
        <v>1</v>
      </c>
      <c r="N1" s="3" t="s">
        <v>6</v>
      </c>
      <c r="O1" s="3" t="s">
        <v>4</v>
      </c>
      <c r="P1" s="3" t="s">
        <v>2</v>
      </c>
      <c r="Q1" s="3" t="s">
        <v>5</v>
      </c>
      <c r="R1" s="3" t="s">
        <v>9</v>
      </c>
      <c r="S1" s="3" t="s">
        <v>7</v>
      </c>
      <c r="T1" s="3" t="s">
        <v>8</v>
      </c>
    </row>
    <row r="2" spans="1:20" x14ac:dyDescent="0.25">
      <c r="A2" t="s">
        <v>3</v>
      </c>
      <c r="B2">
        <v>2009</v>
      </c>
      <c r="C2">
        <f>COUNTIF([1]energy_communities!$J:$J, "&lt; 2010")</f>
        <v>17</v>
      </c>
      <c r="E2">
        <f>COUNTIFS([1]community_projects!$H:$H, "&lt;2010", [1]community_projects!$G:$G, "gerealiseerd")</f>
        <v>20</v>
      </c>
      <c r="F2">
        <f>COUNTIFS([1]EC_projects!$H:$H,"&lt;2010", [1]community_projects!$G:$G, "gerealiseerd", [1]community_projects!$I:$I, "PV")</f>
        <v>0</v>
      </c>
      <c r="G2">
        <f>COUNTIFS([1]EC_projects!$H:$H,"&lt;2010", [1]community_projects!$G:$G, "gerealiseerd", [1]community_projects!$I:$I, "wind")</f>
        <v>20</v>
      </c>
      <c r="H2" s="1">
        <f>SUM(I2:J2)</f>
        <v>31.271999999999998</v>
      </c>
      <c r="I2" s="1">
        <f>SUMIFS([1]community_projects!$P:$P,[1]community_projects!$H:$H, "&lt; 2010",[1]community_projects!$G:$G,"gerealiseerd",[1]community_projects!$I:$I,"PV") / 1000</f>
        <v>0</v>
      </c>
      <c r="J2" s="1">
        <f>SUMIFS([1]community_projects!$P:$P,[1]community_projects!$H:$H, "&lt; 2010",[1]community_projects!$G:$G,"gerealiseerd",[1]community_projects!$I:$I,"wind") / 1000</f>
        <v>31.271999999999998</v>
      </c>
      <c r="M2" s="3">
        <f>C2</f>
        <v>17</v>
      </c>
      <c r="O2" s="3">
        <f t="shared" ref="O2:T2" si="0">E2</f>
        <v>20</v>
      </c>
      <c r="P2" s="3">
        <f t="shared" si="0"/>
        <v>0</v>
      </c>
      <c r="Q2" s="3">
        <f t="shared" si="0"/>
        <v>20</v>
      </c>
      <c r="R2" s="3">
        <f t="shared" si="0"/>
        <v>31.271999999999998</v>
      </c>
      <c r="S2" s="3">
        <f t="shared" si="0"/>
        <v>0</v>
      </c>
      <c r="T2" s="3">
        <f t="shared" si="0"/>
        <v>31.271999999999998</v>
      </c>
    </row>
    <row r="3" spans="1:20" x14ac:dyDescent="0.25">
      <c r="A3">
        <v>2010</v>
      </c>
      <c r="B3">
        <v>2010</v>
      </c>
      <c r="C3">
        <f>COUNTIF([1]energy_communities!$J:$J, $A3)</f>
        <v>5</v>
      </c>
      <c r="E3">
        <f>COUNTIFS([1]community_projects!$H:$H, $A3, [1]community_projects!$G:$G, "gerealiseerd")</f>
        <v>1</v>
      </c>
      <c r="F3">
        <f>COUNTIFS([1]EC_projects!$H:$H,$A3, [1]community_projects!$G:$G, "gerealiseerd", [1]community_projects!$I:$I, "PV")</f>
        <v>0</v>
      </c>
      <c r="G3">
        <f>COUNTIFS([1]EC_projects!$H:$H,$A3, [1]community_projects!$G:$G, "gerealiseerd", [1]community_projects!$I:$I, "wind")</f>
        <v>1</v>
      </c>
      <c r="H3" s="1">
        <f t="shared" ref="H3:H16" si="1">SUM(I3:J3)</f>
        <v>4.5999999999999996</v>
      </c>
      <c r="I3" s="1">
        <f>SUMIFS([1]community_projects!$P:$P,[1]community_projects!$H:$H, $A3,[1]community_projects!$G:$G,"gerealiseerd",[1]community_projects!$I:$I,"PV") / 1000</f>
        <v>0</v>
      </c>
      <c r="J3" s="1">
        <f>SUMIFS([1]community_projects!$P:$P,[1]community_projects!$H:$H, $A3,[1]community_projects!$G:$G,"gerealiseerd",[1]community_projects!$I:$I,"wind") / 1000</f>
        <v>4.5999999999999996</v>
      </c>
      <c r="M3" s="3">
        <f>M2+C3</f>
        <v>22</v>
      </c>
      <c r="O3" s="3">
        <f t="shared" ref="O3:T3" si="2">O2+E3</f>
        <v>21</v>
      </c>
      <c r="P3" s="3">
        <f t="shared" si="2"/>
        <v>0</v>
      </c>
      <c r="Q3" s="3">
        <f t="shared" si="2"/>
        <v>21</v>
      </c>
      <c r="R3" s="3">
        <f t="shared" si="2"/>
        <v>35.872</v>
      </c>
      <c r="S3" s="3">
        <f t="shared" si="2"/>
        <v>0</v>
      </c>
      <c r="T3" s="3">
        <f t="shared" si="2"/>
        <v>35.872</v>
      </c>
    </row>
    <row r="4" spans="1:20" x14ac:dyDescent="0.25">
      <c r="A4">
        <v>2011</v>
      </c>
      <c r="B4">
        <v>2011</v>
      </c>
      <c r="C4">
        <f>COUNTIF([1]energy_communities!$J:$J, $A4)</f>
        <v>10</v>
      </c>
      <c r="E4">
        <f>COUNTIFS([1]community_projects!$H:$H, $A4, [1]community_projects!$G:$G, "gerealiseerd")</f>
        <v>2</v>
      </c>
      <c r="F4">
        <f>COUNTIFS([1]EC_projects!$H:$H,$A4, [1]community_projects!$G:$G, "gerealiseerd", [1]community_projects!$I:$I, "PV")</f>
        <v>2</v>
      </c>
      <c r="G4">
        <f>COUNTIFS([1]EC_projects!$H:$H,$A4, [1]community_projects!$G:$G, "gerealiseerd", [1]community_projects!$I:$I, "wind")</f>
        <v>0</v>
      </c>
      <c r="H4" s="1">
        <f t="shared" si="1"/>
        <v>2.9819999999999999E-2</v>
      </c>
      <c r="I4" s="1">
        <f>SUMIFS([1]community_projects!$P:$P,[1]community_projects!$H:$H, $A4,[1]community_projects!$G:$G,"gerealiseerd",[1]community_projects!$I:$I,"PV") / 1000</f>
        <v>2.9819999999999999E-2</v>
      </c>
      <c r="J4" s="1">
        <f>SUMIFS([1]community_projects!$P:$P,[1]community_projects!$H:$H, $A4,[1]community_projects!$G:$G,"gerealiseerd",[1]community_projects!$I:$I,"wind") / 1000</f>
        <v>0</v>
      </c>
      <c r="M4" s="3">
        <f t="shared" ref="M4:M16" si="3">M3+C4</f>
        <v>32</v>
      </c>
      <c r="O4" s="3">
        <f t="shared" ref="O4:O16" si="4">O3+E4</f>
        <v>23</v>
      </c>
      <c r="P4" s="3">
        <f t="shared" ref="P4:P16" si="5">P3+F4</f>
        <v>2</v>
      </c>
      <c r="Q4" s="3">
        <f t="shared" ref="Q4:Q16" si="6">Q3+G4</f>
        <v>21</v>
      </c>
      <c r="R4" s="3">
        <f t="shared" ref="R4:R16" si="7">R3+H4</f>
        <v>35.901820000000001</v>
      </c>
      <c r="S4" s="3">
        <f t="shared" ref="S4:S16" si="8">S3+I4</f>
        <v>2.9819999999999999E-2</v>
      </c>
      <c r="T4" s="3">
        <f t="shared" ref="T4:T16" si="9">T3+J4</f>
        <v>35.872</v>
      </c>
    </row>
    <row r="5" spans="1:20" x14ac:dyDescent="0.25">
      <c r="A5">
        <v>2012</v>
      </c>
      <c r="B5">
        <v>2012</v>
      </c>
      <c r="C5">
        <f>COUNTIF([1]energy_communities!$J:$J, $A5)</f>
        <v>23</v>
      </c>
      <c r="E5">
        <f>COUNTIFS([1]community_projects!$H:$H, $A5, [1]community_projects!$G:$G, "gerealiseerd")</f>
        <v>9</v>
      </c>
      <c r="F5">
        <f>COUNTIFS([1]EC_projects!$H:$H,$A5, [1]community_projects!$G:$G, "gerealiseerd", [1]community_projects!$I:$I, "PV")</f>
        <v>6</v>
      </c>
      <c r="G5">
        <f>COUNTIFS([1]EC_projects!$H:$H,$A5, [1]community_projects!$G:$G, "gerealiseerd", [1]community_projects!$I:$I, "wind")</f>
        <v>3</v>
      </c>
      <c r="H5" s="1">
        <f t="shared" si="1"/>
        <v>6.6263679999999994</v>
      </c>
      <c r="I5" s="1">
        <f>SUMIFS([1]community_projects!$P:$P,[1]community_projects!$H:$H, $A5,[1]community_projects!$G:$G,"gerealiseerd",[1]community_projects!$I:$I,"PV") / 1000</f>
        <v>1.2763679999999999</v>
      </c>
      <c r="J5" s="1">
        <f>SUMIFS([1]community_projects!$P:$P,[1]community_projects!$H:$H, $A5,[1]community_projects!$G:$G,"gerealiseerd",[1]community_projects!$I:$I,"wind") / 1000</f>
        <v>5.35</v>
      </c>
      <c r="M5" s="3">
        <f t="shared" si="3"/>
        <v>55</v>
      </c>
      <c r="O5" s="3">
        <f t="shared" si="4"/>
        <v>32</v>
      </c>
      <c r="P5" s="3">
        <f t="shared" si="5"/>
        <v>8</v>
      </c>
      <c r="Q5" s="3">
        <f t="shared" si="6"/>
        <v>24</v>
      </c>
      <c r="R5" s="3">
        <f t="shared" si="7"/>
        <v>42.528188</v>
      </c>
      <c r="S5" s="3">
        <f t="shared" si="8"/>
        <v>1.3061879999999999</v>
      </c>
      <c r="T5" s="3">
        <f t="shared" si="9"/>
        <v>41.222000000000001</v>
      </c>
    </row>
    <row r="6" spans="1:20" x14ac:dyDescent="0.25">
      <c r="A6">
        <v>2013</v>
      </c>
      <c r="B6">
        <v>2013</v>
      </c>
      <c r="C6">
        <f>COUNTIF([1]energy_communities!$J:$J, $A6)</f>
        <v>53</v>
      </c>
      <c r="E6">
        <f>COUNTIFS([1]community_projects!$H:$H, $A6, [1]community_projects!$G:$G, "gerealiseerd")</f>
        <v>20</v>
      </c>
      <c r="F6">
        <f>COUNTIFS([1]EC_projects!$H:$H,$A6, [1]community_projects!$G:$G, "gerealiseerd", [1]community_projects!$I:$I, "PV")</f>
        <v>12</v>
      </c>
      <c r="G6">
        <f>COUNTIFS([1]EC_projects!$H:$H,$A6, [1]community_projects!$G:$G, "gerealiseerd", [1]community_projects!$I:$I, "wind")</f>
        <v>8</v>
      </c>
      <c r="H6" s="1">
        <f t="shared" si="1"/>
        <v>13.567540000000001</v>
      </c>
      <c r="I6" s="1">
        <f>SUMIFS([1]community_projects!$P:$P,[1]community_projects!$H:$H, $A6,[1]community_projects!$G:$G,"gerealiseerd",[1]community_projects!$I:$I,"PV") / 1000</f>
        <v>0.41753999999999997</v>
      </c>
      <c r="J6" s="1">
        <f>SUMIFS([1]community_projects!$P:$P,[1]community_projects!$H:$H, $A6,[1]community_projects!$G:$G,"gerealiseerd",[1]community_projects!$I:$I,"wind") / 1000</f>
        <v>13.15</v>
      </c>
      <c r="M6" s="3">
        <f t="shared" si="3"/>
        <v>108</v>
      </c>
      <c r="O6" s="3">
        <f t="shared" si="4"/>
        <v>52</v>
      </c>
      <c r="P6" s="3">
        <f t="shared" si="5"/>
        <v>20</v>
      </c>
      <c r="Q6" s="3">
        <f t="shared" si="6"/>
        <v>32</v>
      </c>
      <c r="R6" s="3">
        <f t="shared" si="7"/>
        <v>56.095728000000001</v>
      </c>
      <c r="S6" s="3">
        <f t="shared" si="8"/>
        <v>1.7237279999999999</v>
      </c>
      <c r="T6" s="3">
        <f t="shared" si="9"/>
        <v>54.372</v>
      </c>
    </row>
    <row r="7" spans="1:20" x14ac:dyDescent="0.25">
      <c r="A7">
        <v>2014</v>
      </c>
      <c r="B7">
        <v>2014</v>
      </c>
      <c r="C7">
        <f>COUNTIF([1]energy_communities!$J:$J, $A7)</f>
        <v>47</v>
      </c>
      <c r="E7">
        <f>COUNTIFS([1]community_projects!$H:$H, $A7, [1]community_projects!$G:$G, "gerealiseerd")</f>
        <v>28</v>
      </c>
      <c r="F7">
        <f>COUNTIFS([1]EC_projects!$H:$H,$A7, [1]community_projects!$G:$G, "gerealiseerd", [1]community_projects!$I:$I, "PV")</f>
        <v>26</v>
      </c>
      <c r="G7">
        <f>COUNTIFS([1]EC_projects!$H:$H,$A7, [1]community_projects!$G:$G, "gerealiseerd", [1]community_projects!$I:$I, "wind")</f>
        <v>2</v>
      </c>
      <c r="H7" s="1">
        <f t="shared" si="1"/>
        <v>2.2104050000000002</v>
      </c>
      <c r="I7" s="1">
        <f>SUMIFS([1]community_projects!$P:$P,[1]community_projects!$H:$H, $A7,[1]community_projects!$G:$G,"gerealiseerd",[1]community_projects!$I:$I,"PV") / 1000</f>
        <v>1.3604050000000003</v>
      </c>
      <c r="J7" s="1">
        <f>SUMIFS([1]community_projects!$P:$P,[1]community_projects!$H:$H, $A7,[1]community_projects!$G:$G,"gerealiseerd",[1]community_projects!$I:$I,"wind") / 1000</f>
        <v>0.85</v>
      </c>
      <c r="M7" s="3">
        <f t="shared" si="3"/>
        <v>155</v>
      </c>
      <c r="O7" s="3">
        <f t="shared" si="4"/>
        <v>80</v>
      </c>
      <c r="P7" s="3">
        <f t="shared" si="5"/>
        <v>46</v>
      </c>
      <c r="Q7" s="3">
        <f t="shared" si="6"/>
        <v>34</v>
      </c>
      <c r="R7" s="3">
        <f t="shared" si="7"/>
        <v>58.306133000000003</v>
      </c>
      <c r="S7" s="3">
        <f t="shared" si="8"/>
        <v>3.0841330000000005</v>
      </c>
      <c r="T7" s="3">
        <f t="shared" si="9"/>
        <v>55.222000000000001</v>
      </c>
    </row>
    <row r="8" spans="1:20" x14ac:dyDescent="0.25">
      <c r="A8">
        <v>2015</v>
      </c>
      <c r="B8">
        <v>2015</v>
      </c>
      <c r="C8">
        <f>COUNTIF([1]energy_communities!$J:$J, $A8)</f>
        <v>51</v>
      </c>
      <c r="E8">
        <f>COUNTIFS([1]community_projects!$H:$H, $A8, [1]community_projects!$G:$G, "gerealiseerd")</f>
        <v>54</v>
      </c>
      <c r="F8">
        <f>COUNTIFS([1]EC_projects!$H:$H,$A8, [1]community_projects!$G:$G, "gerealiseerd", [1]community_projects!$I:$I, "PV")</f>
        <v>51</v>
      </c>
      <c r="G8">
        <f>COUNTIFS([1]EC_projects!$H:$H,$A8, [1]community_projects!$G:$G, "gerealiseerd", [1]community_projects!$I:$I, "wind")</f>
        <v>3</v>
      </c>
      <c r="H8" s="1">
        <f t="shared" si="1"/>
        <v>9.9058150000000005</v>
      </c>
      <c r="I8" s="1">
        <f>SUMIFS([1]community_projects!$P:$P,[1]community_projects!$H:$H, $A8,[1]community_projects!$G:$G,"gerealiseerd",[1]community_projects!$I:$I,"PV") / 1000</f>
        <v>3.9808150000000007</v>
      </c>
      <c r="J8" s="1">
        <f>SUMIFS([1]community_projects!$P:$P,[1]community_projects!$H:$H, $A8,[1]community_projects!$G:$G,"gerealiseerd",[1]community_projects!$I:$I,"wind") / 1000</f>
        <v>5.9249999999999998</v>
      </c>
      <c r="M8" s="3">
        <f t="shared" si="3"/>
        <v>206</v>
      </c>
      <c r="O8" s="3">
        <f t="shared" si="4"/>
        <v>134</v>
      </c>
      <c r="P8" s="3">
        <f t="shared" si="5"/>
        <v>97</v>
      </c>
      <c r="Q8" s="3">
        <f t="shared" si="6"/>
        <v>37</v>
      </c>
      <c r="R8" s="3">
        <f t="shared" si="7"/>
        <v>68.211948000000007</v>
      </c>
      <c r="S8" s="3">
        <f t="shared" si="8"/>
        <v>7.0649480000000011</v>
      </c>
      <c r="T8" s="3">
        <f t="shared" si="9"/>
        <v>61.146999999999998</v>
      </c>
    </row>
    <row r="9" spans="1:20" x14ac:dyDescent="0.25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COUNTIFS([1]community_projects!$H:$H, $A9, [1]community_projects!$G:$G, "gerealiseerd")</f>
        <v>74</v>
      </c>
      <c r="F9">
        <f>COUNTIFS([1]EC_projects!$H:$H,$A9, [1]community_projects!$G:$G, "gerealiseerd", [1]community_projects!$I:$I, "PV")</f>
        <v>65</v>
      </c>
      <c r="G9">
        <f>COUNTIFS([1]EC_projects!$H:$H,$A9, [1]community_projects!$G:$G, "gerealiseerd", [1]community_projects!$I:$I, "wind")</f>
        <v>9</v>
      </c>
      <c r="H9" s="1">
        <f t="shared" si="1"/>
        <v>54.992660000000001</v>
      </c>
      <c r="I9" s="1">
        <f>SUMIFS([1]community_projects!$P:$P,[1]community_projects!$H:$H, $A9,[1]community_projects!$G:$G,"gerealiseerd",[1]community_projects!$I:$I,"PV") / 1000</f>
        <v>16.44266</v>
      </c>
      <c r="J9" s="1">
        <f>SUMIFS([1]community_projects!$P:$P,[1]community_projects!$H:$H, $A9,[1]community_projects!$G:$G,"gerealiseerd",[1]community_projects!$I:$I,"wind") / 1000</f>
        <v>38.549999999999997</v>
      </c>
      <c r="M9" s="3">
        <f t="shared" si="3"/>
        <v>258</v>
      </c>
      <c r="N9" s="3">
        <v>51000</v>
      </c>
      <c r="O9" s="3">
        <f t="shared" si="4"/>
        <v>208</v>
      </c>
      <c r="P9" s="3">
        <f t="shared" si="5"/>
        <v>162</v>
      </c>
      <c r="Q9" s="3">
        <f t="shared" si="6"/>
        <v>46</v>
      </c>
      <c r="R9" s="3">
        <f t="shared" si="7"/>
        <v>123.20460800000001</v>
      </c>
      <c r="S9" s="3">
        <f t="shared" si="8"/>
        <v>23.507608000000001</v>
      </c>
      <c r="T9" s="3">
        <f t="shared" si="9"/>
        <v>99.697000000000003</v>
      </c>
    </row>
    <row r="10" spans="1:20" x14ac:dyDescent="0.25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COUNTIFS([1]community_projects!$H:$H, $A10, [1]community_projects!$G:$G, "gerealiseerd")</f>
        <v>111</v>
      </c>
      <c r="F10">
        <f>COUNTIFS([1]EC_projects!$H:$H,$A10, [1]community_projects!$G:$G, "gerealiseerd", [1]community_projects!$I:$I, "PV")</f>
        <v>108</v>
      </c>
      <c r="G10">
        <f>COUNTIFS([1]EC_projects!$H:$H,$A10, [1]community_projects!$G:$G, "gerealiseerd", [1]community_projects!$I:$I, "wind")</f>
        <v>3</v>
      </c>
      <c r="H10" s="1">
        <f t="shared" si="1"/>
        <v>17.366669444444444</v>
      </c>
      <c r="I10" s="1">
        <f>SUMIFS([1]community_projects!$P:$P,[1]community_projects!$H:$H, $A10,[1]community_projects!$G:$G,"gerealiseerd",[1]community_projects!$I:$I,"PV") / 1000</f>
        <v>13.445669444444444</v>
      </c>
      <c r="J10" s="1">
        <f>SUMIFS([1]community_projects!$P:$P,[1]community_projects!$H:$H, $A10,[1]community_projects!$G:$G,"gerealiseerd",[1]community_projects!$I:$I,"wind") / 1000</f>
        <v>3.9209999999999998</v>
      </c>
      <c r="M10" s="3">
        <f t="shared" si="3"/>
        <v>310</v>
      </c>
      <c r="N10" s="3">
        <v>63000</v>
      </c>
      <c r="O10" s="3">
        <f t="shared" si="4"/>
        <v>319</v>
      </c>
      <c r="P10" s="3">
        <f t="shared" si="5"/>
        <v>270</v>
      </c>
      <c r="Q10" s="3">
        <f t="shared" si="6"/>
        <v>49</v>
      </c>
      <c r="R10" s="3">
        <f t="shared" si="7"/>
        <v>140.57127744444446</v>
      </c>
      <c r="S10" s="3">
        <f t="shared" si="8"/>
        <v>36.953277444444446</v>
      </c>
      <c r="T10" s="3">
        <f t="shared" si="9"/>
        <v>103.61800000000001</v>
      </c>
    </row>
    <row r="11" spans="1:20" x14ac:dyDescent="0.25">
      <c r="A11">
        <v>2018</v>
      </c>
      <c r="B11">
        <v>2018</v>
      </c>
      <c r="C11">
        <f>COUNTIF([1]energy_communities!$J:$J, $A11)</f>
        <v>72</v>
      </c>
      <c r="D11">
        <f t="shared" ref="D11:D16" si="10">N11-N10</f>
        <v>5000</v>
      </c>
      <c r="E11">
        <f>COUNTIFS([1]community_projects!$H:$H, $A11, [1]community_projects!$G:$G, "gerealiseerd")</f>
        <v>191</v>
      </c>
      <c r="F11">
        <f>COUNTIFS([1]EC_projects!$H:$H,$A11, [1]community_projects!$G:$G, "gerealiseerd", [1]community_projects!$I:$I, "PV")</f>
        <v>183</v>
      </c>
      <c r="G11">
        <f>COUNTIFS([1]EC_projects!$H:$H,$A11, [1]community_projects!$G:$G, "gerealiseerd", [1]community_projects!$I:$I, "wind")</f>
        <v>8</v>
      </c>
      <c r="H11" s="1">
        <f t="shared" si="1"/>
        <v>82.48403555555555</v>
      </c>
      <c r="I11" s="1">
        <f>SUMIFS([1]community_projects!$P:$P,[1]community_projects!$H:$H, $A11,[1]community_projects!$G:$G,"gerealiseerd",[1]community_projects!$I:$I,"PV") / 1000</f>
        <v>36.694035555555558</v>
      </c>
      <c r="J11" s="1">
        <f>SUMIFS([1]community_projects!$P:$P,[1]community_projects!$H:$H, $A11,[1]community_projects!$G:$G,"gerealiseerd",[1]community_projects!$I:$I,"wind") / 1000</f>
        <v>45.79</v>
      </c>
      <c r="M11" s="3">
        <f t="shared" si="3"/>
        <v>382</v>
      </c>
      <c r="N11" s="3">
        <v>68000</v>
      </c>
      <c r="O11" s="3">
        <f t="shared" si="4"/>
        <v>510</v>
      </c>
      <c r="P11" s="3">
        <f t="shared" si="5"/>
        <v>453</v>
      </c>
      <c r="Q11" s="3">
        <f t="shared" si="6"/>
        <v>57</v>
      </c>
      <c r="R11" s="3">
        <f t="shared" si="7"/>
        <v>223.05531300000001</v>
      </c>
      <c r="S11" s="3">
        <f t="shared" si="8"/>
        <v>73.647312999999997</v>
      </c>
      <c r="T11" s="3">
        <f t="shared" si="9"/>
        <v>149.40800000000002</v>
      </c>
    </row>
    <row r="12" spans="1:20" x14ac:dyDescent="0.25">
      <c r="A12">
        <v>2019</v>
      </c>
      <c r="B12">
        <v>2019</v>
      </c>
      <c r="C12">
        <f>COUNTIF([1]energy_communities!$J:$J, $A12)</f>
        <v>66</v>
      </c>
      <c r="D12">
        <f t="shared" si="10"/>
        <v>19760</v>
      </c>
      <c r="E12">
        <f>COUNTIFS([1]community_projects!$H:$H, $A12, [1]community_projects!$G:$G, "gerealiseerd")</f>
        <v>202</v>
      </c>
      <c r="F12">
        <f>COUNTIFS([1]EC_projects!$H:$H,$A12, [1]community_projects!$G:$G, "gerealiseerd", [1]community_projects!$I:$I, "PV")</f>
        <v>195</v>
      </c>
      <c r="G12">
        <f>COUNTIFS([1]EC_projects!$H:$H,$A12, [1]community_projects!$G:$G, "gerealiseerd", [1]community_projects!$I:$I, "wind")</f>
        <v>7</v>
      </c>
      <c r="H12" s="1">
        <f t="shared" si="1"/>
        <v>78.832400000000007</v>
      </c>
      <c r="I12" s="1">
        <f>SUMIFS([1]community_projects!$P:$P,[1]community_projects!$H:$H, $A12,[1]community_projects!$G:$G,"gerealiseerd",[1]community_projects!$I:$I,"PV") / 1000</f>
        <v>43.712400000000009</v>
      </c>
      <c r="J12" s="1">
        <f>SUMIFS([1]community_projects!$P:$P,[1]community_projects!$H:$H, $A12,[1]community_projects!$G:$G,"gerealiseerd",[1]community_projects!$I:$I,"wind") / 1000</f>
        <v>35.119999999999997</v>
      </c>
      <c r="M12" s="3">
        <f t="shared" si="3"/>
        <v>448</v>
      </c>
      <c r="N12" s="3">
        <v>87760</v>
      </c>
      <c r="O12" s="3">
        <f t="shared" si="4"/>
        <v>712</v>
      </c>
      <c r="P12" s="3">
        <f t="shared" si="5"/>
        <v>648</v>
      </c>
      <c r="Q12" s="3">
        <f t="shared" si="6"/>
        <v>64</v>
      </c>
      <c r="R12" s="3">
        <f t="shared" si="7"/>
        <v>301.88771300000002</v>
      </c>
      <c r="S12" s="3">
        <f t="shared" si="8"/>
        <v>117.359713</v>
      </c>
      <c r="T12" s="3">
        <f t="shared" si="9"/>
        <v>184.52800000000002</v>
      </c>
    </row>
    <row r="13" spans="1:20" x14ac:dyDescent="0.25">
      <c r="A13">
        <v>2020</v>
      </c>
      <c r="B13">
        <v>2020</v>
      </c>
      <c r="C13">
        <f>COUNTIF([1]energy_communities!$J:$J, $A13)</f>
        <v>53</v>
      </c>
      <c r="D13">
        <f t="shared" si="10"/>
        <v>8571</v>
      </c>
      <c r="E13">
        <f>COUNTIFS([1]community_projects!$H:$H, $A13, [1]community_projects!$G:$G, "gerealiseerd")</f>
        <v>177</v>
      </c>
      <c r="F13">
        <f>COUNTIFS([1]EC_projects!$H:$H,$A13, [1]community_projects!$G:$G, "gerealiseerd", [1]community_projects!$I:$I, "PV")</f>
        <v>171</v>
      </c>
      <c r="G13">
        <f>COUNTIFS([1]EC_projects!$H:$H,$A13, [1]community_projects!$G:$G, "gerealiseerd", [1]community_projects!$I:$I, "wind")</f>
        <v>6</v>
      </c>
      <c r="H13" s="1">
        <f t="shared" si="1"/>
        <v>90.752740000000003</v>
      </c>
      <c r="I13" s="1">
        <f>SUMIFS([1]community_projects!$P:$P,[1]community_projects!$H:$H, $A13,[1]community_projects!$G:$G,"gerealiseerd",[1]community_projects!$I:$I,"PV") / 1000</f>
        <v>53.632740000000005</v>
      </c>
      <c r="J13" s="1">
        <f>SUMIFS([1]community_projects!$P:$P,[1]community_projects!$H:$H, $A13,[1]community_projects!$G:$G,"gerealiseerd",[1]community_projects!$I:$I,"wind") / 1000</f>
        <v>37.119999999999997</v>
      </c>
      <c r="M13" s="3">
        <f t="shared" si="3"/>
        <v>501</v>
      </c>
      <c r="N13" s="3">
        <v>96331</v>
      </c>
      <c r="O13" s="3">
        <f t="shared" si="4"/>
        <v>889</v>
      </c>
      <c r="P13" s="3">
        <f t="shared" si="5"/>
        <v>819</v>
      </c>
      <c r="Q13" s="3">
        <f t="shared" si="6"/>
        <v>70</v>
      </c>
      <c r="R13" s="3">
        <f t="shared" si="7"/>
        <v>392.64045300000004</v>
      </c>
      <c r="S13" s="3">
        <f t="shared" si="8"/>
        <v>170.99245300000001</v>
      </c>
      <c r="T13" s="3">
        <f t="shared" si="9"/>
        <v>221.64800000000002</v>
      </c>
    </row>
    <row r="14" spans="1:20" x14ac:dyDescent="0.25">
      <c r="A14">
        <v>2021</v>
      </c>
      <c r="B14">
        <v>2021</v>
      </c>
      <c r="C14">
        <f>COUNTIF([1]energy_communities!$J:$J, $A14)</f>
        <v>40</v>
      </c>
      <c r="D14">
        <f t="shared" si="10"/>
        <v>15145</v>
      </c>
      <c r="E14">
        <f>COUNTIFS([1]community_projects!$H:$H, $A14, [1]community_projects!$G:$G, "gerealiseerd")</f>
        <v>129</v>
      </c>
      <c r="F14">
        <f>COUNTIFS([1]EC_projects!$H:$H,$A14, [1]community_projects!$G:$G, "gerealiseerd", [1]community_projects!$I:$I, "PV")</f>
        <v>114</v>
      </c>
      <c r="G14">
        <f>COUNTIFS([1]EC_projects!$H:$H,$A14, [1]community_projects!$G:$G, "gerealiseerd", [1]community_projects!$I:$I, "wind")</f>
        <v>15</v>
      </c>
      <c r="H14" s="1">
        <f t="shared" si="1"/>
        <v>131.90571636363637</v>
      </c>
      <c r="I14" s="1">
        <f>SUMIFS([1]community_projects!$P:$P,[1]community_projects!$H:$H, $A14,[1]community_projects!$G:$G,"gerealiseerd",[1]community_projects!$I:$I,"PV") / 1000</f>
        <v>43.542079999999999</v>
      </c>
      <c r="J14" s="1">
        <f>SUMIFS([1]community_projects!$P:$P,[1]community_projects!$H:$H, $A14,[1]community_projects!$G:$G,"gerealiseerd",[1]community_projects!$I:$I,"wind") / 1000</f>
        <v>88.363636363636374</v>
      </c>
      <c r="M14" s="3">
        <f t="shared" si="3"/>
        <v>541</v>
      </c>
      <c r="N14" s="3">
        <v>111476</v>
      </c>
      <c r="O14" s="3">
        <f t="shared" si="4"/>
        <v>1018</v>
      </c>
      <c r="P14" s="3">
        <f t="shared" si="5"/>
        <v>933</v>
      </c>
      <c r="Q14" s="3">
        <f t="shared" si="6"/>
        <v>85</v>
      </c>
      <c r="R14" s="3">
        <f t="shared" si="7"/>
        <v>524.54616936363641</v>
      </c>
      <c r="S14" s="3">
        <f t="shared" si="8"/>
        <v>214.53453300000001</v>
      </c>
      <c r="T14" s="3">
        <f t="shared" si="9"/>
        <v>310.0116363636364</v>
      </c>
    </row>
    <row r="15" spans="1:20" x14ac:dyDescent="0.25">
      <c r="A15">
        <v>2022</v>
      </c>
      <c r="B15">
        <v>2022</v>
      </c>
      <c r="C15">
        <f>COUNTIF([1]energy_communities!$J:$J, $A15)</f>
        <v>23</v>
      </c>
      <c r="D15">
        <f t="shared" si="10"/>
        <v>8738</v>
      </c>
      <c r="E15">
        <f>COUNTIFS([1]community_projects!$H:$H, $A15, [1]community_projects!$G:$G, "gerealiseerd")</f>
        <v>180</v>
      </c>
      <c r="F15">
        <f>COUNTIFS([1]EC_projects!$H:$H,$A15, [1]community_projects!$G:$G, "gerealiseerd", [1]community_projects!$I:$I, "PV")</f>
        <v>175</v>
      </c>
      <c r="G15">
        <f>COUNTIFS([1]EC_projects!$H:$H,$A15, [1]community_projects!$G:$G, "gerealiseerd", [1]community_projects!$I:$I, "wind")</f>
        <v>5</v>
      </c>
      <c r="H15" s="1">
        <f t="shared" si="1"/>
        <v>81.356893820657262</v>
      </c>
      <c r="I15" s="1">
        <f>SUMIFS([1]community_projects!$P:$P,[1]community_projects!$H:$H, $A15,[1]community_projects!$G:$G,"gerealiseerd",[1]community_projects!$I:$I,"PV") / 1000</f>
        <v>61.73991259999999</v>
      </c>
      <c r="J15" s="1">
        <f>SUMIFS([1]community_projects!$P:$P,[1]community_projects!$H:$H, $A15,[1]community_projects!$G:$G,"gerealiseerd",[1]community_projects!$I:$I,"wind") / 1000</f>
        <v>19.616981220657276</v>
      </c>
      <c r="M15" s="3">
        <f t="shared" si="3"/>
        <v>564</v>
      </c>
      <c r="N15" s="3">
        <v>120214</v>
      </c>
      <c r="O15" s="3">
        <f t="shared" si="4"/>
        <v>1198</v>
      </c>
      <c r="P15" s="3">
        <f t="shared" si="5"/>
        <v>1108</v>
      </c>
      <c r="Q15" s="3">
        <f t="shared" si="6"/>
        <v>90</v>
      </c>
      <c r="R15" s="3">
        <f t="shared" si="7"/>
        <v>605.90306318429361</v>
      </c>
      <c r="S15" s="3">
        <f t="shared" si="8"/>
        <v>276.27444559999998</v>
      </c>
      <c r="T15" s="3">
        <f t="shared" si="9"/>
        <v>329.62861758429369</v>
      </c>
    </row>
    <row r="16" spans="1:20" x14ac:dyDescent="0.25">
      <c r="A16">
        <v>2023</v>
      </c>
      <c r="B16">
        <v>2023</v>
      </c>
      <c r="C16">
        <f>COUNTIF([1]energy_communities!$J:$J, $A16)</f>
        <v>11</v>
      </c>
      <c r="D16">
        <f t="shared" si="10"/>
        <v>10966</v>
      </c>
      <c r="E16">
        <f>COUNTIFS([1]community_projects!$H:$H, $A16, [1]community_projects!$G:$G, "gerealiseerd")</f>
        <v>151</v>
      </c>
      <c r="F16">
        <f>COUNTIFS([1]EC_projects!$H:$H,$A16, [1]community_projects!$G:$G, "gerealiseerd", [1]community_projects!$I:$I, "PV")</f>
        <v>146</v>
      </c>
      <c r="G16">
        <f>COUNTIFS([1]EC_projects!$H:$H,$A16, [1]community_projects!$G:$G, "gerealiseerd", [1]community_projects!$I:$I, "wind")</f>
        <v>5</v>
      </c>
      <c r="H16" s="1">
        <f t="shared" si="1"/>
        <v>64.763407000000001</v>
      </c>
      <c r="I16" s="1">
        <f>SUMIFS([1]community_projects!$P:$P,[1]community_projects!$H:$H, $A16,[1]community_projects!$G:$G,"gerealiseerd",[1]community_projects!$I:$I,"PV") / 1000</f>
        <v>42.843407000000006</v>
      </c>
      <c r="J16" s="1">
        <f>SUMIFS([1]community_projects!$P:$P,[1]community_projects!$H:$H, $A16,[1]community_projects!$G:$G,"gerealiseerd",[1]community_projects!$I:$I,"wind") / 1000</f>
        <v>21.92</v>
      </c>
      <c r="M16" s="3">
        <f t="shared" si="3"/>
        <v>575</v>
      </c>
      <c r="N16" s="3">
        <v>131180</v>
      </c>
      <c r="O16" s="3">
        <f t="shared" si="4"/>
        <v>1349</v>
      </c>
      <c r="P16" s="3">
        <f t="shared" si="5"/>
        <v>1254</v>
      </c>
      <c r="Q16" s="3">
        <f t="shared" si="6"/>
        <v>95</v>
      </c>
      <c r="R16" s="3">
        <f t="shared" si="7"/>
        <v>670.66647018429364</v>
      </c>
      <c r="S16" s="3">
        <f t="shared" si="8"/>
        <v>319.11785259999999</v>
      </c>
      <c r="T16" s="3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M16"/>
  <sheetViews>
    <sheetView workbookViewId="0">
      <selection activeCell="C6" sqref="C6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v>17</v>
      </c>
      <c r="C2" s="2">
        <f>summary_statistics!N2*$L$5</f>
        <v>0</v>
      </c>
      <c r="D2" s="2">
        <v>20</v>
      </c>
      <c r="E2" s="2">
        <f>summary_statistics!P2*$L$5</f>
        <v>0</v>
      </c>
      <c r="F2" s="2">
        <f>summary_statistics!Q2*$L$5</f>
        <v>20</v>
      </c>
      <c r="G2" s="2">
        <f>summary_statistics!R2*$L$5</f>
        <v>31.271999999999998</v>
      </c>
      <c r="H2" s="2">
        <f>summary_statistics!S2*$L$5</f>
        <v>0</v>
      </c>
      <c r="I2" s="2">
        <f>summary_statistics!T2*$L$5</f>
        <v>31.271999999999998</v>
      </c>
    </row>
    <row r="3" spans="1:13" x14ac:dyDescent="0.25">
      <c r="A3">
        <f>summary_statistics!A3</f>
        <v>2010</v>
      </c>
      <c r="B3" s="2">
        <v>22</v>
      </c>
      <c r="C3" s="2">
        <f>summary_statistics!N3*$L$5</f>
        <v>0</v>
      </c>
      <c r="D3" s="2">
        <v>21</v>
      </c>
      <c r="E3" s="2">
        <f>summary_statistics!P3*$L$5</f>
        <v>0</v>
      </c>
      <c r="F3" s="2">
        <f>summary_statistics!Q3*$L$5</f>
        <v>21</v>
      </c>
      <c r="G3" s="2">
        <f>summary_statistics!R3*$L$5</f>
        <v>35.872</v>
      </c>
      <c r="H3" s="2">
        <f>summary_statistics!S3*$L$5</f>
        <v>0</v>
      </c>
      <c r="I3" s="2">
        <f>summary_statistics!T3*$L$5</f>
        <v>35.872</v>
      </c>
    </row>
    <row r="4" spans="1:13" x14ac:dyDescent="0.25">
      <c r="A4">
        <f>summary_statistics!A4</f>
        <v>2011</v>
      </c>
      <c r="B4" s="2">
        <v>32</v>
      </c>
      <c r="C4" s="2">
        <f>summary_statistics!N4*$L$5</f>
        <v>0</v>
      </c>
      <c r="D4" s="2">
        <v>23</v>
      </c>
      <c r="E4" s="2">
        <f>summary_statistics!P4*$L$5</f>
        <v>2</v>
      </c>
      <c r="F4" s="2">
        <f>summary_statistics!Q4*$L$5</f>
        <v>21</v>
      </c>
      <c r="G4" s="2">
        <f>summary_statistics!R4*$L$5</f>
        <v>35.901820000000001</v>
      </c>
      <c r="H4" s="2">
        <f>summary_statistics!S4*$L$5</f>
        <v>2.9819999999999999E-2</v>
      </c>
      <c r="I4" s="2">
        <f>summary_statistics!T4*$L$5</f>
        <v>35.872</v>
      </c>
    </row>
    <row r="5" spans="1:13" x14ac:dyDescent="0.25">
      <c r="A5">
        <f>summary_statistics!A5</f>
        <v>2012</v>
      </c>
      <c r="B5" s="2">
        <v>55</v>
      </c>
      <c r="C5" s="2">
        <f>summary_statistics!N5*$L$5</f>
        <v>0</v>
      </c>
      <c r="D5" s="2">
        <v>43</v>
      </c>
      <c r="E5" s="2">
        <f>summary_statistics!P5*$L$5</f>
        <v>8</v>
      </c>
      <c r="F5" s="2">
        <f>summary_statistics!Q5*$L$5</f>
        <v>24</v>
      </c>
      <c r="G5" s="2">
        <f>summary_statistics!R5*$L$5</f>
        <v>42.528188</v>
      </c>
      <c r="H5" s="2">
        <f>summary_statistics!S5*$L$5</f>
        <v>1.3061879999999999</v>
      </c>
      <c r="I5" s="2">
        <f>summary_statistics!T5*$L$5</f>
        <v>41.222000000000001</v>
      </c>
      <c r="L5">
        <v>1</v>
      </c>
      <c r="M5" t="s">
        <v>12</v>
      </c>
    </row>
    <row r="6" spans="1:13" x14ac:dyDescent="0.25">
      <c r="A6">
        <f>summary_statistics!A6</f>
        <v>2013</v>
      </c>
      <c r="B6" s="2">
        <v>108</v>
      </c>
      <c r="C6" s="2">
        <f>summary_statistics!N6*$L$5</f>
        <v>0</v>
      </c>
      <c r="D6" s="2">
        <v>63</v>
      </c>
      <c r="E6" s="2">
        <f>summary_statistics!P6*$L$5</f>
        <v>20</v>
      </c>
      <c r="F6" s="2">
        <f>summary_statistics!Q6*$L$5</f>
        <v>32</v>
      </c>
      <c r="G6" s="2">
        <f>summary_statistics!R6*$L$5</f>
        <v>56.095728000000001</v>
      </c>
      <c r="H6" s="2">
        <f>summary_statistics!S6*$L$5</f>
        <v>1.7237279999999999</v>
      </c>
      <c r="I6" s="2">
        <f>summary_statistics!T6*$L$5</f>
        <v>54.372</v>
      </c>
    </row>
    <row r="7" spans="1:13" x14ac:dyDescent="0.25">
      <c r="A7">
        <f>summary_statistics!A7</f>
        <v>2014</v>
      </c>
      <c r="B7" s="2">
        <v>155</v>
      </c>
      <c r="C7" s="2">
        <f>summary_statistics!N7*$L$5</f>
        <v>0</v>
      </c>
      <c r="D7" s="2">
        <v>90</v>
      </c>
      <c r="E7" s="2">
        <f>summary_statistics!P7*$L$5</f>
        <v>46</v>
      </c>
      <c r="F7" s="2">
        <f>summary_statistics!Q7*$L$5</f>
        <v>34</v>
      </c>
      <c r="G7" s="2">
        <f>summary_statistics!R7*$L$5</f>
        <v>58.306133000000003</v>
      </c>
      <c r="H7" s="2">
        <f>summary_statistics!S7*$L$5</f>
        <v>3.0841330000000005</v>
      </c>
      <c r="I7" s="2">
        <f>summary_statistics!T7*$L$5</f>
        <v>55.222000000000001</v>
      </c>
    </row>
    <row r="8" spans="1:13" x14ac:dyDescent="0.25">
      <c r="A8">
        <f>summary_statistics!A8</f>
        <v>2015</v>
      </c>
      <c r="B8" s="2">
        <v>206</v>
      </c>
      <c r="C8" s="2">
        <f>summary_statistics!N8*$L$5</f>
        <v>0</v>
      </c>
      <c r="D8" s="2">
        <v>144</v>
      </c>
      <c r="E8" s="2">
        <f>summary_statistics!P8*$L$5</f>
        <v>97</v>
      </c>
      <c r="F8" s="2">
        <f>summary_statistics!Q8*$L$5</f>
        <v>37</v>
      </c>
      <c r="G8" s="2">
        <f>summary_statistics!R8*$L$5</f>
        <v>68.211948000000007</v>
      </c>
      <c r="H8" s="2">
        <f>summary_statistics!S8*$L$5</f>
        <v>7.0649480000000011</v>
      </c>
      <c r="I8" s="2">
        <f>summary_statistics!T8*$L$5</f>
        <v>61.146999999999998</v>
      </c>
    </row>
    <row r="9" spans="1:13" x14ac:dyDescent="0.25">
      <c r="A9">
        <f>summary_statistics!A9</f>
        <v>2016</v>
      </c>
      <c r="B9" s="2">
        <v>258</v>
      </c>
      <c r="C9" s="2">
        <f>summary_statistics!N9*$L$5</f>
        <v>51000</v>
      </c>
      <c r="D9" s="2">
        <v>215</v>
      </c>
      <c r="E9" s="2">
        <f>summary_statistics!P9*$L$5</f>
        <v>162</v>
      </c>
      <c r="F9" s="2">
        <f>summary_statistics!Q9*$L$5</f>
        <v>46</v>
      </c>
      <c r="G9" s="2">
        <f>summary_statistics!R9*$L$5</f>
        <v>123.20460800000001</v>
      </c>
      <c r="H9" s="2">
        <f>summary_statistics!S9*$L$5</f>
        <v>23.507608000000001</v>
      </c>
      <c r="I9" s="2">
        <f>summary_statistics!T9*$L$5</f>
        <v>99.697000000000003</v>
      </c>
    </row>
    <row r="10" spans="1:13" x14ac:dyDescent="0.25">
      <c r="A10">
        <f>summary_statistics!A10</f>
        <v>2017</v>
      </c>
      <c r="B10" s="2">
        <v>310</v>
      </c>
      <c r="C10" s="2">
        <f>summary_statistics!N10*$L$5</f>
        <v>63000</v>
      </c>
      <c r="D10" s="2">
        <v>326</v>
      </c>
      <c r="E10" s="2">
        <f>summary_statistics!P10*$L$5</f>
        <v>270</v>
      </c>
      <c r="F10" s="2">
        <f>summary_statistics!Q10*$L$5</f>
        <v>49</v>
      </c>
      <c r="G10" s="2">
        <f>summary_statistics!R10*$L$5</f>
        <v>140.57127744444446</v>
      </c>
      <c r="H10" s="2">
        <f>summary_statistics!S10*$L$5</f>
        <v>36.953277444444446</v>
      </c>
      <c r="I10" s="2">
        <f>summary_statistics!T10*$L$5</f>
        <v>103.61800000000001</v>
      </c>
    </row>
    <row r="11" spans="1:13" x14ac:dyDescent="0.25">
      <c r="A11">
        <f>summary_statistics!A11</f>
        <v>2018</v>
      </c>
      <c r="B11" s="2">
        <v>382</v>
      </c>
      <c r="C11" s="2">
        <f>summary_statistics!N11*$L$5</f>
        <v>68000</v>
      </c>
      <c r="D11" s="2">
        <v>514</v>
      </c>
      <c r="E11" s="2">
        <f>summary_statistics!P11*$L$5</f>
        <v>453</v>
      </c>
      <c r="F11" s="2">
        <f>summary_statistics!Q11*$L$5</f>
        <v>57</v>
      </c>
      <c r="G11" s="2">
        <f>summary_statistics!R11*$L$5</f>
        <v>223.05531300000001</v>
      </c>
      <c r="H11" s="2">
        <f>summary_statistics!S11*$L$5</f>
        <v>73.647312999999997</v>
      </c>
      <c r="I11" s="2">
        <f>summary_statistics!T11*$L$5</f>
        <v>149.40800000000002</v>
      </c>
    </row>
    <row r="12" spans="1:13" x14ac:dyDescent="0.25">
      <c r="A12">
        <f>summary_statistics!A12</f>
        <v>2019</v>
      </c>
      <c r="B12" s="2">
        <v>448</v>
      </c>
      <c r="C12" s="2">
        <f>summary_statistics!N12*$L$5</f>
        <v>87760</v>
      </c>
      <c r="D12" s="2">
        <v>713</v>
      </c>
      <c r="E12" s="2">
        <f>summary_statistics!P12*$L$5</f>
        <v>648</v>
      </c>
      <c r="F12" s="2">
        <f>summary_statistics!Q12*$L$5</f>
        <v>64</v>
      </c>
      <c r="G12" s="2">
        <f>summary_statistics!R12*$L$5</f>
        <v>301.88771300000002</v>
      </c>
      <c r="H12" s="2">
        <f>summary_statistics!S12*$L$5</f>
        <v>117.359713</v>
      </c>
      <c r="I12" s="2">
        <f>summary_statistics!T12*$L$5</f>
        <v>184.52800000000002</v>
      </c>
    </row>
    <row r="13" spans="1:13" x14ac:dyDescent="0.25">
      <c r="A13">
        <f>summary_statistics!A13</f>
        <v>2020</v>
      </c>
      <c r="B13" s="2">
        <v>501</v>
      </c>
      <c r="C13" s="2">
        <f>summary_statistics!N13*$L$5</f>
        <v>96331</v>
      </c>
      <c r="D13" s="2">
        <v>882</v>
      </c>
      <c r="E13" s="2">
        <f>summary_statistics!P13*$L$5</f>
        <v>819</v>
      </c>
      <c r="F13" s="2">
        <f>summary_statistics!Q13*$L$5</f>
        <v>70</v>
      </c>
      <c r="G13" s="2">
        <f>summary_statistics!R13*$L$5</f>
        <v>392.64045300000004</v>
      </c>
      <c r="H13" s="2">
        <f>summary_statistics!S13*$L$5</f>
        <v>170.99245300000001</v>
      </c>
      <c r="I13" s="2">
        <f>summary_statistics!T13*$L$5</f>
        <v>221.64800000000002</v>
      </c>
    </row>
    <row r="14" spans="1:13" x14ac:dyDescent="0.25">
      <c r="A14">
        <f>summary_statistics!A14</f>
        <v>2021</v>
      </c>
      <c r="B14" s="2">
        <v>541</v>
      </c>
      <c r="C14" s="2">
        <f>summary_statistics!N14*$L$5</f>
        <v>111476</v>
      </c>
      <c r="D14" s="2">
        <v>1005</v>
      </c>
      <c r="E14" s="2">
        <f>summary_statistics!P14*$L$5</f>
        <v>933</v>
      </c>
      <c r="F14" s="2">
        <f>summary_statistics!Q14*$L$5</f>
        <v>85</v>
      </c>
      <c r="G14" s="2">
        <f>summary_statistics!R14*$L$5</f>
        <v>524.54616936363641</v>
      </c>
      <c r="H14" s="2">
        <f>summary_statistics!S14*$L$5</f>
        <v>214.53453300000001</v>
      </c>
      <c r="I14" s="2">
        <f>summary_statistics!T14*$L$5</f>
        <v>310.0116363636364</v>
      </c>
    </row>
    <row r="15" spans="1:13" x14ac:dyDescent="0.25">
      <c r="A15">
        <f>summary_statistics!A15</f>
        <v>2022</v>
      </c>
      <c r="B15" s="2">
        <v>564</v>
      </c>
      <c r="C15" s="2">
        <f>summary_statistics!N15*$L$5</f>
        <v>120214</v>
      </c>
      <c r="D15" s="2">
        <v>1182</v>
      </c>
      <c r="E15" s="2">
        <f>summary_statistics!P15*$L$5</f>
        <v>1108</v>
      </c>
      <c r="F15" s="2">
        <f>summary_statistics!Q15*$L$5</f>
        <v>90</v>
      </c>
      <c r="G15" s="2">
        <f>summary_statistics!R15*$L$5</f>
        <v>605.90306318429361</v>
      </c>
      <c r="H15" s="2">
        <f>summary_statistics!S15*$L$5</f>
        <v>276.27444559999998</v>
      </c>
      <c r="I15" s="2">
        <f>summary_statistics!T15*$L$5</f>
        <v>329.62861758429369</v>
      </c>
    </row>
    <row r="16" spans="1:13" x14ac:dyDescent="0.25">
      <c r="A16">
        <f>summary_statistics!A16</f>
        <v>2023</v>
      </c>
      <c r="B16" s="2">
        <v>575</v>
      </c>
      <c r="C16" s="2">
        <f>summary_statistics!N16*$L$5</f>
        <v>131180</v>
      </c>
      <c r="D16" s="2">
        <v>1327</v>
      </c>
      <c r="E16" s="2">
        <f>summary_statistics!P16*$L$5</f>
        <v>1254</v>
      </c>
      <c r="F16" s="2">
        <f>summary_statistics!Q16*$L$5</f>
        <v>95</v>
      </c>
      <c r="G16" s="2">
        <f>summary_statistics!R16*$L$5</f>
        <v>670.66647018429364</v>
      </c>
      <c r="H16" s="2">
        <f>summary_statistics!S16*$L$5</f>
        <v>319.11785259999999</v>
      </c>
      <c r="I16" s="2">
        <f>summary_statistics!T16*$L$5</f>
        <v>351.54861758429371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35B6-73E9-487E-9869-E37A5941B649}">
  <dimension ref="A1:M16"/>
  <sheetViews>
    <sheetView workbookViewId="0">
      <selection activeCell="G12" sqref="G12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3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 x14ac:dyDescent="0.25">
      <c r="A2">
        <v>2009</v>
      </c>
      <c r="B2" s="2">
        <f>summary_statistics!M2*$L$5</f>
        <v>0.59397590361445785</v>
      </c>
      <c r="C2" s="2">
        <f>summary_statistics!N2*$L$5</f>
        <v>0</v>
      </c>
      <c r="D2" s="2">
        <f>summary_statistics!O2*$L$5</f>
        <v>0.6987951807228916</v>
      </c>
      <c r="E2" s="2">
        <f>summary_statistics!P2*$L$5</f>
        <v>0</v>
      </c>
      <c r="F2" s="2">
        <f>summary_statistics!Q2*$L$5</f>
        <v>0.6987951807228916</v>
      </c>
      <c r="G2" s="2">
        <f>summary_statistics!R2*$L$5</f>
        <v>1.0926361445783133</v>
      </c>
      <c r="H2" s="2">
        <f>summary_statistics!S2*$L$5</f>
        <v>0</v>
      </c>
      <c r="I2" s="2">
        <f>summary_statistics!T2*$L$5</f>
        <v>1.0926361445783133</v>
      </c>
    </row>
    <row r="3" spans="1:13" x14ac:dyDescent="0.25">
      <c r="A3">
        <f>summary_statistics!A3</f>
        <v>2010</v>
      </c>
      <c r="B3" s="2">
        <f>summary_statistics!M3*$L$5</f>
        <v>0.7686746987951808</v>
      </c>
      <c r="C3" s="2">
        <f>summary_statistics!N3*$L$5</f>
        <v>0</v>
      </c>
      <c r="D3" s="2">
        <f>summary_statistics!O3*$L$5</f>
        <v>0.73373493975903625</v>
      </c>
      <c r="E3" s="2">
        <f>summary_statistics!P3*$L$5</f>
        <v>0</v>
      </c>
      <c r="F3" s="2">
        <f>summary_statistics!Q3*$L$5</f>
        <v>0.73373493975903625</v>
      </c>
      <c r="G3" s="2">
        <f>summary_statistics!R3*$L$5</f>
        <v>1.2533590361445783</v>
      </c>
      <c r="H3" s="2">
        <f>summary_statistics!S3*$L$5</f>
        <v>0</v>
      </c>
      <c r="I3" s="2">
        <f>summary_statistics!T3*$L$5</f>
        <v>1.2533590361445783</v>
      </c>
      <c r="L3">
        <v>290000</v>
      </c>
      <c r="M3" t="s">
        <v>10</v>
      </c>
    </row>
    <row r="4" spans="1:13" x14ac:dyDescent="0.25">
      <c r="A4">
        <f>summary_statistics!A4</f>
        <v>2011</v>
      </c>
      <c r="B4" s="2">
        <f>summary_statistics!M4*$L$5</f>
        <v>1.1180722891566266</v>
      </c>
      <c r="C4" s="2">
        <f>summary_statistics!N4*$L$5</f>
        <v>0</v>
      </c>
      <c r="D4" s="2">
        <f>summary_statistics!O4*$L$5</f>
        <v>0.80361445783132535</v>
      </c>
      <c r="E4" s="2">
        <f>summary_statistics!P4*$L$5</f>
        <v>6.9879518072289162E-2</v>
      </c>
      <c r="F4" s="2">
        <f>summary_statistics!Q4*$L$5</f>
        <v>0.73373493975903625</v>
      </c>
      <c r="G4" s="2">
        <f>summary_statistics!R4*$L$5</f>
        <v>1.2544009397590363</v>
      </c>
      <c r="H4" s="2">
        <f>summary_statistics!S4*$L$5</f>
        <v>1.0419036144578315E-3</v>
      </c>
      <c r="I4" s="2">
        <f>summary_statistics!T4*$L$5</f>
        <v>1.2533590361445783</v>
      </c>
      <c r="L4">
        <v>8300000</v>
      </c>
      <c r="M4" t="s">
        <v>11</v>
      </c>
    </row>
    <row r="5" spans="1:13" x14ac:dyDescent="0.25">
      <c r="A5">
        <f>summary_statistics!A5</f>
        <v>2012</v>
      </c>
      <c r="B5" s="2">
        <f>summary_statistics!M5*$L$5</f>
        <v>1.9216867469879519</v>
      </c>
      <c r="C5" s="2">
        <f>summary_statistics!N5*$L$5</f>
        <v>0</v>
      </c>
      <c r="D5" s="2">
        <f>summary_statistics!O5*$L$5</f>
        <v>1.1180722891566266</v>
      </c>
      <c r="E5" s="2">
        <f>summary_statistics!P5*$L$5</f>
        <v>0.27951807228915665</v>
      </c>
      <c r="F5" s="2">
        <f>summary_statistics!Q5*$L$5</f>
        <v>0.83855421686747</v>
      </c>
      <c r="G5" s="2">
        <f>summary_statistics!R5*$L$5</f>
        <v>1.4859246409638556</v>
      </c>
      <c r="H5" s="2">
        <f>summary_statistics!S5*$L$5</f>
        <v>4.5637893975903614E-2</v>
      </c>
      <c r="I5" s="2">
        <f>summary_statistics!T5*$L$5</f>
        <v>1.4402867469879519</v>
      </c>
      <c r="L5">
        <f>L3/L4</f>
        <v>3.4939759036144581E-2</v>
      </c>
      <c r="M5" t="s">
        <v>12</v>
      </c>
    </row>
    <row r="6" spans="1:13" x14ac:dyDescent="0.25">
      <c r="A6">
        <f>summary_statistics!A6</f>
        <v>2013</v>
      </c>
      <c r="B6" s="2">
        <f>summary_statistics!M6*$L$5</f>
        <v>3.7734939759036146</v>
      </c>
      <c r="C6" s="2">
        <f>summary_statistics!N6*$L$5</f>
        <v>0</v>
      </c>
      <c r="D6" s="2">
        <f>summary_statistics!O6*$L$5</f>
        <v>1.8168674698795182</v>
      </c>
      <c r="E6" s="2">
        <f>summary_statistics!P6*$L$5</f>
        <v>0.6987951807228916</v>
      </c>
      <c r="F6" s="2">
        <f>summary_statistics!Q6*$L$5</f>
        <v>1.1180722891566266</v>
      </c>
      <c r="G6" s="2">
        <f>summary_statistics!R6*$L$5</f>
        <v>1.9599712192771086</v>
      </c>
      <c r="H6" s="2">
        <f>summary_statistics!S6*$L$5</f>
        <v>6.0226640963855424E-2</v>
      </c>
      <c r="I6" s="2">
        <f>summary_statistics!T6*$L$5</f>
        <v>1.8997445783132532</v>
      </c>
    </row>
    <row r="7" spans="1:13" x14ac:dyDescent="0.25">
      <c r="A7">
        <f>summary_statistics!A7</f>
        <v>2014</v>
      </c>
      <c r="B7" s="2">
        <f>summary_statistics!M7*$L$5</f>
        <v>5.4156626506024104</v>
      </c>
      <c r="C7" s="2">
        <f>summary_statistics!N7*$L$5</f>
        <v>0</v>
      </c>
      <c r="D7" s="2">
        <f>summary_statistics!O7*$L$5</f>
        <v>2.7951807228915664</v>
      </c>
      <c r="E7" s="2">
        <f>summary_statistics!P7*$L$5</f>
        <v>1.6072289156626507</v>
      </c>
      <c r="F7" s="2">
        <f>summary_statistics!Q7*$L$5</f>
        <v>1.1879518072289157</v>
      </c>
      <c r="G7" s="2">
        <f>summary_statistics!R7*$L$5</f>
        <v>2.0372022373493976</v>
      </c>
      <c r="H7" s="2">
        <f>summary_statistics!S7*$L$5</f>
        <v>0.10775886385542172</v>
      </c>
      <c r="I7" s="2">
        <f>summary_statistics!T7*$L$5</f>
        <v>1.9294433734939762</v>
      </c>
    </row>
    <row r="8" spans="1:13" x14ac:dyDescent="0.25">
      <c r="A8">
        <f>summary_statistics!A8</f>
        <v>2015</v>
      </c>
      <c r="B8" s="2">
        <f>summary_statistics!M8*$L$5</f>
        <v>7.1975903614457835</v>
      </c>
      <c r="C8" s="2">
        <f>summary_statistics!N8*$L$5</f>
        <v>0</v>
      </c>
      <c r="D8" s="2">
        <f>summary_statistics!O8*$L$5</f>
        <v>4.6819277108433734</v>
      </c>
      <c r="E8" s="2">
        <f>summary_statistics!P8*$L$5</f>
        <v>3.3891566265060242</v>
      </c>
      <c r="F8" s="2">
        <f>summary_statistics!Q8*$L$5</f>
        <v>1.2927710843373494</v>
      </c>
      <c r="G8" s="2">
        <f>summary_statistics!R8*$L$5</f>
        <v>2.3833090265060246</v>
      </c>
      <c r="H8" s="2">
        <f>summary_statistics!S8*$L$5</f>
        <v>0.24684758072289162</v>
      </c>
      <c r="I8" s="2">
        <f>summary_statistics!T8*$L$5</f>
        <v>2.1364614457831328</v>
      </c>
    </row>
    <row r="9" spans="1:13" x14ac:dyDescent="0.25">
      <c r="A9">
        <f>summary_statistics!A9</f>
        <v>2016</v>
      </c>
      <c r="B9" s="2">
        <f>summary_statistics!M9*$L$5</f>
        <v>9.0144578313253021</v>
      </c>
      <c r="C9" s="2">
        <f>summary_statistics!N9*$L$5</f>
        <v>1781.9277108433737</v>
      </c>
      <c r="D9" s="2">
        <f>summary_statistics!O9*$L$5</f>
        <v>7.2674698795180728</v>
      </c>
      <c r="E9" s="2">
        <f>summary_statistics!P9*$L$5</f>
        <v>5.6602409638554221</v>
      </c>
      <c r="F9" s="2">
        <f>summary_statistics!Q9*$L$5</f>
        <v>1.6072289156626507</v>
      </c>
      <c r="G9" s="2">
        <f>summary_statistics!R9*$L$5</f>
        <v>4.3047393156626512</v>
      </c>
      <c r="H9" s="2">
        <f>summary_statistics!S9*$L$5</f>
        <v>0.82135015903614472</v>
      </c>
      <c r="I9" s="2">
        <f>summary_statistics!T9*$L$5</f>
        <v>3.4833891566265063</v>
      </c>
    </row>
    <row r="10" spans="1:13" x14ac:dyDescent="0.25">
      <c r="A10">
        <f>summary_statistics!A10</f>
        <v>2017</v>
      </c>
      <c r="B10" s="2">
        <f>summary_statistics!M10*$L$5</f>
        <v>10.831325301204821</v>
      </c>
      <c r="C10" s="2">
        <f>summary_statistics!N10*$L$5</f>
        <v>2201.2048192771085</v>
      </c>
      <c r="D10" s="2">
        <f>summary_statistics!O10*$L$5</f>
        <v>11.145783132530122</v>
      </c>
      <c r="E10" s="2">
        <f>summary_statistics!P10*$L$5</f>
        <v>9.4337349397590362</v>
      </c>
      <c r="F10" s="2">
        <f>summary_statistics!Q10*$L$5</f>
        <v>1.7120481927710844</v>
      </c>
      <c r="G10" s="2">
        <f>summary_statistics!R10*$L$5</f>
        <v>4.9115265613119155</v>
      </c>
      <c r="H10" s="2">
        <f>summary_statistics!S10*$L$5</f>
        <v>1.2911386095046855</v>
      </c>
      <c r="I10" s="2">
        <f>summary_statistics!T10*$L$5</f>
        <v>3.6203879518072295</v>
      </c>
    </row>
    <row r="11" spans="1:13" x14ac:dyDescent="0.25">
      <c r="A11">
        <f>summary_statistics!A11</f>
        <v>2018</v>
      </c>
      <c r="B11" s="2">
        <f>summary_statistics!M11*$L$5</f>
        <v>13.346987951807231</v>
      </c>
      <c r="C11" s="2">
        <f>summary_statistics!N11*$L$5</f>
        <v>2375.9036144578317</v>
      </c>
      <c r="D11" s="2">
        <f>summary_statistics!O11*$L$5</f>
        <v>17.819277108433738</v>
      </c>
      <c r="E11" s="2">
        <f>summary_statistics!P11*$L$5</f>
        <v>15.827710843373495</v>
      </c>
      <c r="F11" s="2">
        <f>summary_statistics!Q11*$L$5</f>
        <v>1.991566265060241</v>
      </c>
      <c r="G11" s="2">
        <f>summary_statistics!R11*$L$5</f>
        <v>7.7934988879518086</v>
      </c>
      <c r="H11" s="2">
        <f>summary_statistics!S11*$L$5</f>
        <v>2.573219369879518</v>
      </c>
      <c r="I11" s="2">
        <f>summary_statistics!T11*$L$5</f>
        <v>5.2202795180722905</v>
      </c>
    </row>
    <row r="12" spans="1:13" x14ac:dyDescent="0.25">
      <c r="A12">
        <f>summary_statistics!A12</f>
        <v>2019</v>
      </c>
      <c r="B12" s="2">
        <f>summary_statistics!M12*$L$5</f>
        <v>15.653012048192773</v>
      </c>
      <c r="C12" s="2">
        <f>summary_statistics!N12*$L$5</f>
        <v>3066.3132530120483</v>
      </c>
      <c r="D12" s="2">
        <f>summary_statistics!O12*$L$5</f>
        <v>24.877108433734943</v>
      </c>
      <c r="E12" s="2">
        <f>summary_statistics!P12*$L$5</f>
        <v>22.640963855421688</v>
      </c>
      <c r="F12" s="2">
        <f>summary_statistics!Q12*$L$5</f>
        <v>2.2361445783132532</v>
      </c>
      <c r="G12" s="2">
        <f>summary_statistics!R12*$L$5</f>
        <v>10.547883948192773</v>
      </c>
      <c r="H12" s="2">
        <f>summary_statistics!S12*$L$5</f>
        <v>4.1005200927710845</v>
      </c>
      <c r="I12" s="2">
        <f>summary_statistics!T12*$L$5</f>
        <v>6.4473638554216883</v>
      </c>
    </row>
    <row r="13" spans="1:13" x14ac:dyDescent="0.25">
      <c r="A13">
        <f>summary_statistics!A13</f>
        <v>2020</v>
      </c>
      <c r="B13" s="2">
        <f>summary_statistics!M13*$L$5</f>
        <v>17.504819277108435</v>
      </c>
      <c r="C13" s="2">
        <f>summary_statistics!N13*$L$5</f>
        <v>3365.7819277108438</v>
      </c>
      <c r="D13" s="2">
        <f>summary_statistics!O13*$L$5</f>
        <v>31.061445783132534</v>
      </c>
      <c r="E13" s="2">
        <f>summary_statistics!P13*$L$5</f>
        <v>28.615662650602413</v>
      </c>
      <c r="F13" s="2">
        <f>summary_statistics!Q13*$L$5</f>
        <v>2.4457831325301207</v>
      </c>
      <c r="G13" s="2">
        <f>summary_statistics!R13*$L$5</f>
        <v>13.718762815662654</v>
      </c>
      <c r="H13" s="2">
        <f>summary_statistics!S13*$L$5</f>
        <v>5.9744351048192783</v>
      </c>
      <c r="I13" s="2">
        <f>summary_statistics!T13*$L$5</f>
        <v>7.7443277108433746</v>
      </c>
    </row>
    <row r="14" spans="1:13" x14ac:dyDescent="0.25">
      <c r="A14">
        <f>summary_statistics!A14</f>
        <v>2021</v>
      </c>
      <c r="B14" s="2">
        <f>summary_statistics!M14*$L$5</f>
        <v>18.902409638554218</v>
      </c>
      <c r="C14" s="2">
        <f>summary_statistics!N14*$L$5</f>
        <v>3894.9445783132533</v>
      </c>
      <c r="D14" s="2">
        <f>summary_statistics!O14*$L$5</f>
        <v>35.568674698795185</v>
      </c>
      <c r="E14" s="2">
        <f>summary_statistics!P14*$L$5</f>
        <v>32.598795180722895</v>
      </c>
      <c r="F14" s="2">
        <f>summary_statistics!Q14*$L$5</f>
        <v>2.9698795180722892</v>
      </c>
      <c r="G14" s="2">
        <f>summary_statistics!R14*$L$5</f>
        <v>18.327516760898142</v>
      </c>
      <c r="H14" s="2">
        <f>summary_statistics!S14*$L$5</f>
        <v>7.4957848879518085</v>
      </c>
      <c r="I14" s="2">
        <f>summary_statistics!T14*$L$5</f>
        <v>10.831731872946333</v>
      </c>
    </row>
    <row r="15" spans="1:13" x14ac:dyDescent="0.25">
      <c r="A15">
        <f>summary_statistics!A15</f>
        <v>2022</v>
      </c>
      <c r="B15" s="2">
        <f>summary_statistics!M15*$L$5</f>
        <v>19.706024096385544</v>
      </c>
      <c r="C15" s="2">
        <f>summary_statistics!N15*$L$5</f>
        <v>4200.2481927710851</v>
      </c>
      <c r="D15" s="2">
        <f>summary_statistics!O15*$L$5</f>
        <v>41.857831325301206</v>
      </c>
      <c r="E15" s="2">
        <f>summary_statistics!P15*$L$5</f>
        <v>38.713253012048199</v>
      </c>
      <c r="F15" s="2">
        <f>summary_statistics!Q15*$L$5</f>
        <v>3.1445783132530125</v>
      </c>
      <c r="G15" s="2">
        <f>summary_statistics!R15*$L$5</f>
        <v>21.170107026921105</v>
      </c>
      <c r="H15" s="2">
        <f>summary_statistics!S15*$L$5</f>
        <v>9.6529625571084345</v>
      </c>
      <c r="I15" s="2">
        <f>summary_statistics!T15*$L$5</f>
        <v>11.517144469812672</v>
      </c>
    </row>
    <row r="16" spans="1:13" x14ac:dyDescent="0.25">
      <c r="A16">
        <f>summary_statistics!A16</f>
        <v>2023</v>
      </c>
      <c r="B16" s="2">
        <f>summary_statistics!M16*$L$5</f>
        <v>20.090361445783135</v>
      </c>
      <c r="C16" s="2">
        <f>summary_statistics!N16*$L$5</f>
        <v>4583.3975903614464</v>
      </c>
      <c r="D16" s="2">
        <f>summary_statistics!O16*$L$5</f>
        <v>47.133734939759037</v>
      </c>
      <c r="E16" s="2">
        <f>summary_statistics!P16*$L$5</f>
        <v>43.814457831325306</v>
      </c>
      <c r="F16" s="2">
        <f>summary_statistics!Q16*$L$5</f>
        <v>3.3192771084337354</v>
      </c>
      <c r="G16" s="2">
        <f>summary_statistics!R16*$L$5</f>
        <v>23.432924861860865</v>
      </c>
      <c r="H16" s="2">
        <f>summary_statistics!S16*$L$5</f>
        <v>11.149900873975904</v>
      </c>
      <c r="I16" s="2">
        <f>summary_statistics!T16*$L$5</f>
        <v>12.283023987884961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calibration_statistics_groninge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2024-08-19T07:33:25Z</dcterms:created>
  <dcterms:modified xsi:type="dcterms:W3CDTF">2024-11-05T10:44:30Z</dcterms:modified>
</cp:coreProperties>
</file>